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COMPUTER\Downloads\"/>
    </mc:Choice>
  </mc:AlternateContent>
  <xr:revisionPtr revIDLastSave="0" documentId="13_ncr:1_{0F4CB778-E91C-4BED-8553-EEA314DD9D7C}" xr6:coauthVersionLast="47" xr6:coauthVersionMax="47" xr10:uidLastSave="{00000000-0000-0000-0000-000000000000}"/>
  <bookViews>
    <workbookView xWindow="-120" yWindow="-120" windowWidth="29040" windowHeight="15840" firstSheet="3" activeTab="15" xr2:uid="{00000000-000D-0000-FFFF-FFFF00000000}"/>
  </bookViews>
  <sheets>
    <sheet name="EMBRC-IT Services 2023" sheetId="2" r:id="rId1"/>
    <sheet name="Partners" sheetId="19" r:id="rId2"/>
    <sheet name="SZN" sheetId="5" r:id="rId3"/>
    <sheet name="CNR" sheetId="6" r:id="rId4"/>
    <sheet name="CONISMA" sheetId="7" r:id="rId5"/>
    <sheet name="OGS" sheetId="8" r:id="rId6"/>
    <sheet name="IZSPLV" sheetId="9" r:id="rId7"/>
    <sheet name="ENEA" sheetId="10" r:id="rId8"/>
    <sheet name="ISPRA" sheetId="11" r:id="rId9"/>
    <sheet name="UNITUS" sheetId="12" r:id="rId10"/>
    <sheet name="UNICA" sheetId="13" r:id="rId11"/>
    <sheet name="UNIFE" sheetId="14" r:id="rId12"/>
    <sheet name="UNIME" sheetId="15" r:id="rId13"/>
    <sheet name="UNITO" sheetId="16" r:id="rId14"/>
    <sheet name="UNIMIB" sheetId="17" r:id="rId15"/>
    <sheet name="UNIVPM" sheetId="18"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8" l="1"/>
  <c r="G7" i="18"/>
  <c r="F7" i="18"/>
  <c r="E7" i="18"/>
  <c r="D7" i="18"/>
  <c r="C7" i="18"/>
  <c r="B7" i="18"/>
  <c r="A7" i="18"/>
  <c r="H6" i="18"/>
  <c r="G6" i="18"/>
  <c r="F6" i="18"/>
  <c r="E6" i="18"/>
  <c r="D6" i="18"/>
  <c r="C6" i="18"/>
  <c r="B6" i="18"/>
  <c r="A6" i="18"/>
  <c r="H5" i="18"/>
  <c r="G5" i="18"/>
  <c r="F5" i="18"/>
  <c r="E5" i="18"/>
  <c r="D5" i="18"/>
  <c r="C5" i="18"/>
  <c r="B5" i="18"/>
  <c r="A5" i="18"/>
  <c r="I4" i="18"/>
  <c r="H4" i="18"/>
  <c r="G4" i="18"/>
  <c r="F4" i="18"/>
  <c r="E4" i="18"/>
  <c r="D4" i="18"/>
  <c r="C4" i="18"/>
  <c r="B4" i="18"/>
  <c r="A4" i="18"/>
  <c r="H3" i="18"/>
  <c r="G3" i="18"/>
  <c r="F3" i="18"/>
  <c r="E3" i="18"/>
  <c r="D3" i="18"/>
  <c r="C3" i="18"/>
  <c r="B3" i="18"/>
  <c r="A3" i="18"/>
  <c r="H2" i="18"/>
  <c r="G2" i="18"/>
  <c r="F2" i="18"/>
  <c r="E2" i="18"/>
  <c r="D2" i="18"/>
  <c r="C2" i="18"/>
  <c r="B2" i="18"/>
  <c r="A2" i="18"/>
  <c r="I1" i="18"/>
  <c r="H1" i="18"/>
  <c r="G1" i="18"/>
  <c r="F1" i="18"/>
  <c r="E1" i="18"/>
  <c r="D1" i="18"/>
  <c r="C1" i="18"/>
  <c r="B1" i="18"/>
  <c r="A1" i="18"/>
  <c r="J5" i="17"/>
  <c r="F5" i="17"/>
  <c r="E5" i="17"/>
  <c r="D5" i="17"/>
  <c r="C5" i="17"/>
  <c r="B5" i="17"/>
  <c r="A5" i="17"/>
  <c r="G4" i="17"/>
  <c r="F4" i="17"/>
  <c r="E4" i="17"/>
  <c r="D4" i="17"/>
  <c r="C4" i="17"/>
  <c r="B4" i="17"/>
  <c r="A4" i="17"/>
  <c r="G3" i="17"/>
  <c r="F3" i="17"/>
  <c r="E3" i="17"/>
  <c r="D3" i="17"/>
  <c r="C3" i="17"/>
  <c r="B3" i="17"/>
  <c r="A3" i="17"/>
  <c r="G2" i="17"/>
  <c r="F2" i="17"/>
  <c r="E2" i="17"/>
  <c r="D2" i="17"/>
  <c r="C2" i="17"/>
  <c r="B2" i="17"/>
  <c r="A2" i="17"/>
  <c r="J1" i="17"/>
  <c r="I1" i="17"/>
  <c r="H1" i="17"/>
  <c r="G1" i="17"/>
  <c r="F1" i="17"/>
  <c r="E1" i="17"/>
  <c r="D1" i="17"/>
  <c r="C1" i="17"/>
  <c r="B1" i="17"/>
  <c r="A1" i="17"/>
  <c r="I9" i="16"/>
  <c r="F9" i="16"/>
  <c r="E9" i="16"/>
  <c r="D9" i="16"/>
  <c r="C9" i="16"/>
  <c r="B9" i="16"/>
  <c r="A9" i="16"/>
  <c r="I8" i="16"/>
  <c r="H8" i="16"/>
  <c r="G8" i="16"/>
  <c r="F8" i="16"/>
  <c r="E8" i="16"/>
  <c r="D8" i="16"/>
  <c r="C8" i="16"/>
  <c r="B8" i="16"/>
  <c r="A8" i="16"/>
  <c r="H7" i="16"/>
  <c r="G7" i="16"/>
  <c r="F7" i="16"/>
  <c r="E7" i="16"/>
  <c r="D7" i="16"/>
  <c r="C7" i="16"/>
  <c r="B7" i="16"/>
  <c r="A7" i="16"/>
  <c r="H6" i="16"/>
  <c r="G6" i="16"/>
  <c r="F6" i="16"/>
  <c r="E6" i="16"/>
  <c r="D6" i="16"/>
  <c r="C6" i="16"/>
  <c r="B6" i="16"/>
  <c r="A6" i="16"/>
  <c r="I5" i="16"/>
  <c r="H5" i="16"/>
  <c r="G5" i="16"/>
  <c r="F5" i="16"/>
  <c r="E5" i="16"/>
  <c r="D5" i="16"/>
  <c r="C5" i="16"/>
  <c r="B5" i="16"/>
  <c r="A5" i="16"/>
  <c r="H4" i="16"/>
  <c r="G4" i="16"/>
  <c r="F4" i="16"/>
  <c r="E4" i="16"/>
  <c r="D4" i="16"/>
  <c r="C4" i="16"/>
  <c r="B4" i="16"/>
  <c r="A4" i="16"/>
  <c r="H3" i="16"/>
  <c r="G3" i="16"/>
  <c r="F3" i="16"/>
  <c r="E3" i="16"/>
  <c r="D3" i="16"/>
  <c r="C3" i="16"/>
  <c r="B3" i="16"/>
  <c r="A3" i="16"/>
  <c r="I2" i="16"/>
  <c r="H2" i="16"/>
  <c r="G2" i="16"/>
  <c r="F2" i="16"/>
  <c r="E2" i="16"/>
  <c r="D2" i="16"/>
  <c r="C2" i="16"/>
  <c r="B2" i="16"/>
  <c r="A2" i="16"/>
  <c r="J1" i="16"/>
  <c r="I1" i="16"/>
  <c r="H1" i="16"/>
  <c r="G1" i="16"/>
  <c r="F1" i="16"/>
  <c r="E1" i="16"/>
  <c r="D1" i="16"/>
  <c r="C1" i="16"/>
  <c r="B1" i="16"/>
  <c r="A1" i="16"/>
  <c r="J9" i="15"/>
  <c r="F9" i="15"/>
  <c r="E9" i="15"/>
  <c r="D9" i="15"/>
  <c r="C9" i="15"/>
  <c r="B9" i="15"/>
  <c r="A9" i="15"/>
  <c r="J8" i="15"/>
  <c r="F8" i="15"/>
  <c r="E8" i="15"/>
  <c r="D8" i="15"/>
  <c r="C8" i="15"/>
  <c r="B8" i="15"/>
  <c r="A8" i="15"/>
  <c r="I7" i="15"/>
  <c r="G7" i="15"/>
  <c r="F7" i="15"/>
  <c r="E7" i="15"/>
  <c r="D7" i="15"/>
  <c r="C7" i="15"/>
  <c r="B7" i="15"/>
  <c r="A7" i="15"/>
  <c r="J6" i="15"/>
  <c r="I6" i="15"/>
  <c r="G6" i="15"/>
  <c r="F6" i="15"/>
  <c r="E6" i="15"/>
  <c r="D6" i="15"/>
  <c r="C6" i="15"/>
  <c r="B6" i="15"/>
  <c r="A6" i="15"/>
  <c r="J5" i="15"/>
  <c r="I5" i="15"/>
  <c r="H5" i="15"/>
  <c r="G5" i="15"/>
  <c r="F5" i="15"/>
  <c r="E5" i="15"/>
  <c r="D5" i="15"/>
  <c r="C5" i="15"/>
  <c r="B5" i="15"/>
  <c r="A5" i="15"/>
  <c r="I4" i="15"/>
  <c r="G4" i="15"/>
  <c r="F4" i="15"/>
  <c r="E4" i="15"/>
  <c r="D4" i="15"/>
  <c r="C4" i="15"/>
  <c r="B4" i="15"/>
  <c r="A4" i="15"/>
  <c r="J3" i="15"/>
  <c r="I3" i="15"/>
  <c r="H3" i="15"/>
  <c r="G3" i="15"/>
  <c r="F3" i="15"/>
  <c r="E3" i="15"/>
  <c r="D3" i="15"/>
  <c r="C3" i="15"/>
  <c r="B3" i="15"/>
  <c r="A3" i="15"/>
  <c r="I2" i="15"/>
  <c r="H2" i="15"/>
  <c r="G2" i="15"/>
  <c r="F2" i="15"/>
  <c r="E2" i="15"/>
  <c r="D2" i="15"/>
  <c r="C2" i="15"/>
  <c r="B2" i="15"/>
  <c r="A2" i="15"/>
  <c r="I1" i="15"/>
  <c r="H1" i="15"/>
  <c r="G1" i="15"/>
  <c r="F1" i="15"/>
  <c r="E1" i="15"/>
  <c r="D1" i="15"/>
  <c r="C1" i="15"/>
  <c r="B1" i="15"/>
  <c r="A1" i="15"/>
  <c r="J4" i="14"/>
  <c r="F4" i="14"/>
  <c r="E4" i="14"/>
  <c r="D4" i="14"/>
  <c r="C4" i="14"/>
  <c r="B4" i="14"/>
  <c r="A4" i="14"/>
  <c r="J3" i="14"/>
  <c r="H3" i="14"/>
  <c r="G3" i="14"/>
  <c r="F3" i="14"/>
  <c r="E3" i="14"/>
  <c r="D3" i="14"/>
  <c r="C3" i="14"/>
  <c r="B3" i="14"/>
  <c r="A3" i="14"/>
  <c r="H2" i="14"/>
  <c r="G2" i="14"/>
  <c r="F2" i="14"/>
  <c r="E2" i="14"/>
  <c r="D2" i="14"/>
  <c r="C2" i="14"/>
  <c r="B2" i="14"/>
  <c r="A2" i="14"/>
  <c r="J1" i="14"/>
  <c r="I1" i="14"/>
  <c r="H1" i="14"/>
  <c r="G1" i="14"/>
  <c r="F1" i="14"/>
  <c r="E1" i="14"/>
  <c r="D1" i="14"/>
  <c r="C1" i="14"/>
  <c r="B1" i="14"/>
  <c r="A1" i="14"/>
  <c r="J6" i="13"/>
  <c r="H6" i="13"/>
  <c r="G6" i="13"/>
  <c r="F6" i="13"/>
  <c r="E6" i="13"/>
  <c r="D6" i="13"/>
  <c r="C6" i="13"/>
  <c r="B6" i="13"/>
  <c r="A6" i="13"/>
  <c r="J5" i="13"/>
  <c r="H5" i="13"/>
  <c r="G5" i="13"/>
  <c r="F5" i="13"/>
  <c r="E5" i="13"/>
  <c r="D5" i="13"/>
  <c r="C5" i="13"/>
  <c r="B5" i="13"/>
  <c r="A5" i="13"/>
  <c r="J4" i="13"/>
  <c r="I4" i="13"/>
  <c r="G4" i="13"/>
  <c r="F4" i="13"/>
  <c r="E4" i="13"/>
  <c r="D4" i="13"/>
  <c r="C4" i="13"/>
  <c r="B4" i="13"/>
  <c r="A4" i="13"/>
  <c r="J3" i="13"/>
  <c r="H3" i="13"/>
  <c r="G3" i="13"/>
  <c r="F3" i="13"/>
  <c r="E3" i="13"/>
  <c r="D3" i="13"/>
  <c r="C3" i="13"/>
  <c r="B3" i="13"/>
  <c r="A3" i="13"/>
  <c r="J2" i="13"/>
  <c r="H2" i="13"/>
  <c r="G2" i="13"/>
  <c r="F2" i="13"/>
  <c r="E2" i="13"/>
  <c r="D2" i="13"/>
  <c r="C2" i="13"/>
  <c r="B2" i="13"/>
  <c r="A2" i="13"/>
  <c r="J1" i="13"/>
  <c r="I1" i="13"/>
  <c r="H1" i="13"/>
  <c r="G1" i="13"/>
  <c r="F1" i="13"/>
  <c r="E1" i="13"/>
  <c r="D1" i="13"/>
  <c r="C1" i="13"/>
  <c r="B1" i="13"/>
  <c r="A1" i="13"/>
  <c r="I7" i="12"/>
  <c r="G7" i="12"/>
  <c r="F7" i="12"/>
  <c r="E7" i="12"/>
  <c r="D7" i="12"/>
  <c r="C7" i="12"/>
  <c r="B7" i="12"/>
  <c r="A7" i="12"/>
  <c r="I6" i="12"/>
  <c r="G6" i="12"/>
  <c r="F6" i="12"/>
  <c r="E6" i="12"/>
  <c r="D6" i="12"/>
  <c r="C6" i="12"/>
  <c r="B6" i="12"/>
  <c r="A6" i="12"/>
  <c r="I5" i="12"/>
  <c r="G5" i="12"/>
  <c r="F5" i="12"/>
  <c r="E5" i="12"/>
  <c r="D5" i="12"/>
  <c r="C5" i="12"/>
  <c r="B5" i="12"/>
  <c r="A5" i="12"/>
  <c r="J4" i="12"/>
  <c r="I4" i="12"/>
  <c r="G4" i="12"/>
  <c r="F4" i="12"/>
  <c r="E4" i="12"/>
  <c r="D4" i="12"/>
  <c r="C4" i="12"/>
  <c r="B4" i="12"/>
  <c r="A4" i="12"/>
  <c r="G3" i="12"/>
  <c r="F3" i="12"/>
  <c r="E3" i="12"/>
  <c r="D3" i="12"/>
  <c r="C3" i="12"/>
  <c r="B3" i="12"/>
  <c r="A3" i="12"/>
  <c r="I2" i="12"/>
  <c r="G2" i="12"/>
  <c r="F2" i="12"/>
  <c r="E2" i="12"/>
  <c r="D2" i="12"/>
  <c r="C2" i="12"/>
  <c r="B2" i="12"/>
  <c r="A2" i="12"/>
  <c r="J1" i="12"/>
  <c r="I1" i="12"/>
  <c r="H1" i="12"/>
  <c r="G1" i="12"/>
  <c r="F1" i="12"/>
  <c r="E1" i="12"/>
  <c r="D1" i="12"/>
  <c r="C1" i="12"/>
  <c r="B1" i="12"/>
  <c r="A1" i="12"/>
  <c r="A1" i="11"/>
  <c r="J10" i="10"/>
  <c r="F10" i="10"/>
  <c r="E10" i="10"/>
  <c r="D10" i="10"/>
  <c r="C10" i="10"/>
  <c r="B10" i="10"/>
  <c r="A10" i="10"/>
  <c r="J9" i="10"/>
  <c r="F9" i="10"/>
  <c r="E9" i="10"/>
  <c r="D9" i="10"/>
  <c r="C9" i="10"/>
  <c r="B9" i="10"/>
  <c r="A9" i="10"/>
  <c r="G8" i="10"/>
  <c r="F8" i="10"/>
  <c r="E8" i="10"/>
  <c r="D8" i="10"/>
  <c r="C8" i="10"/>
  <c r="B8" i="10"/>
  <c r="A8" i="10"/>
  <c r="F7" i="10"/>
  <c r="E7" i="10"/>
  <c r="D7" i="10"/>
  <c r="C7" i="10"/>
  <c r="B7" i="10"/>
  <c r="A7" i="10"/>
  <c r="F6" i="10"/>
  <c r="E6" i="10"/>
  <c r="D6" i="10"/>
  <c r="C6" i="10"/>
  <c r="B6" i="10"/>
  <c r="A6" i="10"/>
  <c r="G5" i="10"/>
  <c r="F5" i="10"/>
  <c r="E5" i="10"/>
  <c r="D5" i="10"/>
  <c r="C5" i="10"/>
  <c r="B5" i="10"/>
  <c r="A5" i="10"/>
  <c r="G4" i="10"/>
  <c r="F4" i="10"/>
  <c r="E4" i="10"/>
  <c r="D4" i="10"/>
  <c r="C4" i="10"/>
  <c r="B4" i="10"/>
  <c r="A4" i="10"/>
  <c r="G3" i="10"/>
  <c r="F3" i="10"/>
  <c r="E3" i="10"/>
  <c r="D3" i="10"/>
  <c r="C3" i="10"/>
  <c r="B3" i="10"/>
  <c r="A3" i="10"/>
  <c r="H2" i="10"/>
  <c r="G2" i="10"/>
  <c r="F2" i="10"/>
  <c r="E2" i="10"/>
  <c r="D2" i="10"/>
  <c r="C2" i="10"/>
  <c r="B2" i="10"/>
  <c r="A2" i="10"/>
  <c r="J1" i="10"/>
  <c r="I1" i="10"/>
  <c r="H1" i="10"/>
  <c r="G1" i="10"/>
  <c r="F1" i="10"/>
  <c r="E1" i="10"/>
  <c r="D1" i="10"/>
  <c r="C1" i="10"/>
  <c r="B1" i="10"/>
  <c r="A1" i="10"/>
  <c r="H4" i="9"/>
  <c r="G4" i="9"/>
  <c r="F4" i="9"/>
  <c r="E4" i="9"/>
  <c r="D4" i="9"/>
  <c r="C4" i="9"/>
  <c r="B4" i="9"/>
  <c r="A4" i="9"/>
  <c r="H3" i="9"/>
  <c r="G3" i="9"/>
  <c r="F3" i="9"/>
  <c r="E3" i="9"/>
  <c r="D3" i="9"/>
  <c r="C3" i="9"/>
  <c r="B3" i="9"/>
  <c r="A3" i="9"/>
  <c r="H2" i="9"/>
  <c r="G2" i="9"/>
  <c r="F2" i="9"/>
  <c r="E2" i="9"/>
  <c r="D2" i="9"/>
  <c r="C2" i="9"/>
  <c r="B2" i="9"/>
  <c r="A2" i="9"/>
  <c r="J1" i="9"/>
  <c r="I1" i="9"/>
  <c r="H1" i="9"/>
  <c r="G1" i="9"/>
  <c r="F1" i="9"/>
  <c r="E1" i="9"/>
  <c r="D1" i="9"/>
  <c r="C1" i="9"/>
  <c r="B1" i="9"/>
  <c r="A1" i="9"/>
  <c r="I4" i="8"/>
  <c r="H4" i="8"/>
  <c r="G4" i="8"/>
  <c r="F4" i="8"/>
  <c r="E4" i="8"/>
  <c r="D4" i="8"/>
  <c r="C4" i="8"/>
  <c r="B4" i="8"/>
  <c r="A4" i="8"/>
  <c r="I3" i="8"/>
  <c r="H3" i="8"/>
  <c r="G3" i="8"/>
  <c r="F3" i="8"/>
  <c r="E3" i="8"/>
  <c r="D3" i="8"/>
  <c r="C3" i="8"/>
  <c r="B3" i="8"/>
  <c r="A3" i="8"/>
  <c r="I2" i="8"/>
  <c r="H2" i="8"/>
  <c r="G2" i="8"/>
  <c r="F2" i="8"/>
  <c r="E2" i="8"/>
  <c r="D2" i="8"/>
  <c r="C2" i="8"/>
  <c r="B2" i="8"/>
  <c r="A2" i="8"/>
  <c r="J1" i="8"/>
  <c r="I1" i="8"/>
  <c r="H1" i="8"/>
  <c r="G1" i="8"/>
  <c r="F1" i="8"/>
  <c r="E1" i="8"/>
  <c r="D1" i="8"/>
  <c r="C1" i="8"/>
  <c r="B1" i="8"/>
  <c r="A1" i="8"/>
  <c r="F19" i="7"/>
  <c r="E19" i="7"/>
  <c r="D19" i="7"/>
  <c r="C19" i="7"/>
  <c r="B19" i="7"/>
  <c r="A19" i="7"/>
  <c r="G18" i="7"/>
  <c r="F18" i="7"/>
  <c r="E18" i="7"/>
  <c r="D18" i="7"/>
  <c r="C18" i="7"/>
  <c r="B18" i="7"/>
  <c r="A18" i="7"/>
  <c r="F17" i="7"/>
  <c r="E17" i="7"/>
  <c r="D17" i="7"/>
  <c r="C17" i="7"/>
  <c r="B17" i="7"/>
  <c r="A17" i="7"/>
  <c r="G16" i="7"/>
  <c r="F16" i="7"/>
  <c r="E16" i="7"/>
  <c r="D16" i="7"/>
  <c r="C16" i="7"/>
  <c r="B16" i="7"/>
  <c r="A16" i="7"/>
  <c r="F15" i="7"/>
  <c r="E15" i="7"/>
  <c r="D15" i="7"/>
  <c r="C15" i="7"/>
  <c r="B15" i="7"/>
  <c r="A15" i="7"/>
  <c r="G14" i="7"/>
  <c r="F14" i="7"/>
  <c r="E14" i="7"/>
  <c r="D14" i="7"/>
  <c r="C14" i="7"/>
  <c r="B14" i="7"/>
  <c r="A14" i="7"/>
  <c r="I13" i="7"/>
  <c r="G13" i="7"/>
  <c r="F13" i="7"/>
  <c r="E13" i="7"/>
  <c r="D13" i="7"/>
  <c r="C13" i="7"/>
  <c r="B13" i="7"/>
  <c r="A13" i="7"/>
  <c r="J12" i="7"/>
  <c r="I12" i="7"/>
  <c r="G12" i="7"/>
  <c r="F12" i="7"/>
  <c r="E12" i="7"/>
  <c r="D12" i="7"/>
  <c r="C12" i="7"/>
  <c r="B12" i="7"/>
  <c r="A12" i="7"/>
  <c r="J11" i="7"/>
  <c r="H11" i="7"/>
  <c r="G11" i="7"/>
  <c r="F11" i="7"/>
  <c r="E11" i="7"/>
  <c r="D11" i="7"/>
  <c r="C11" i="7"/>
  <c r="B11" i="7"/>
  <c r="A11" i="7"/>
  <c r="H10" i="7"/>
  <c r="G10" i="7"/>
  <c r="F10" i="7"/>
  <c r="E10" i="7"/>
  <c r="D10" i="7"/>
  <c r="C10" i="7"/>
  <c r="B10" i="7"/>
  <c r="A10" i="7"/>
  <c r="I9" i="7"/>
  <c r="H9" i="7"/>
  <c r="G9" i="7"/>
  <c r="F9" i="7"/>
  <c r="E9" i="7"/>
  <c r="D9" i="7"/>
  <c r="C9" i="7"/>
  <c r="B9" i="7"/>
  <c r="A9" i="7"/>
  <c r="J8" i="7"/>
  <c r="I8" i="7"/>
  <c r="H8" i="7"/>
  <c r="G8" i="7"/>
  <c r="F8" i="7"/>
  <c r="E8" i="7"/>
  <c r="D8" i="7"/>
  <c r="C8" i="7"/>
  <c r="B8" i="7"/>
  <c r="A8" i="7"/>
  <c r="I7" i="7"/>
  <c r="H7" i="7"/>
  <c r="G7" i="7"/>
  <c r="F7" i="7"/>
  <c r="E7" i="7"/>
  <c r="D7" i="7"/>
  <c r="C7" i="7"/>
  <c r="B7" i="7"/>
  <c r="A7" i="7"/>
  <c r="H6" i="7"/>
  <c r="G6" i="7"/>
  <c r="F6" i="7"/>
  <c r="E6" i="7"/>
  <c r="D6" i="7"/>
  <c r="C6" i="7"/>
  <c r="B6" i="7"/>
  <c r="A6" i="7"/>
  <c r="H5" i="7"/>
  <c r="G5" i="7"/>
  <c r="F5" i="7"/>
  <c r="E5" i="7"/>
  <c r="D5" i="7"/>
  <c r="C5" i="7"/>
  <c r="B5" i="7"/>
  <c r="A5" i="7"/>
  <c r="F4" i="7"/>
  <c r="E4" i="7"/>
  <c r="D4" i="7"/>
  <c r="C4" i="7"/>
  <c r="B4" i="7"/>
  <c r="A4" i="7"/>
  <c r="H3" i="7"/>
  <c r="G3" i="7"/>
  <c r="F3" i="7"/>
  <c r="E3" i="7"/>
  <c r="D3" i="7"/>
  <c r="C3" i="7"/>
  <c r="B3" i="7"/>
  <c r="A3" i="7"/>
  <c r="H2" i="7"/>
  <c r="G2" i="7"/>
  <c r="F2" i="7"/>
  <c r="E2" i="7"/>
  <c r="D2" i="7"/>
  <c r="C2" i="7"/>
  <c r="B2" i="7"/>
  <c r="A2" i="7"/>
  <c r="J1" i="7"/>
  <c r="I1" i="7"/>
  <c r="H1" i="7"/>
  <c r="G1" i="7"/>
  <c r="F1" i="7"/>
  <c r="E1" i="7"/>
  <c r="D1" i="7"/>
  <c r="C1" i="7"/>
  <c r="B1" i="7"/>
  <c r="A1" i="7"/>
  <c r="H35" i="6"/>
  <c r="G35" i="6"/>
  <c r="F35" i="6"/>
  <c r="E35" i="6"/>
  <c r="D35" i="6"/>
  <c r="C35" i="6"/>
  <c r="B35" i="6"/>
  <c r="A35" i="6"/>
  <c r="H34" i="6"/>
  <c r="G34" i="6"/>
  <c r="F34" i="6"/>
  <c r="E34" i="6"/>
  <c r="D34" i="6"/>
  <c r="C34" i="6"/>
  <c r="B34" i="6"/>
  <c r="A34" i="6"/>
  <c r="H33" i="6"/>
  <c r="G33" i="6"/>
  <c r="F33" i="6"/>
  <c r="E33" i="6"/>
  <c r="D33" i="6"/>
  <c r="C33" i="6"/>
  <c r="B33" i="6"/>
  <c r="A33" i="6"/>
  <c r="H32" i="6"/>
  <c r="G32" i="6"/>
  <c r="F32" i="6"/>
  <c r="E32" i="6"/>
  <c r="D32" i="6"/>
  <c r="C32" i="6"/>
  <c r="B32" i="6"/>
  <c r="A32" i="6"/>
  <c r="H31" i="6"/>
  <c r="G31" i="6"/>
  <c r="F31" i="6"/>
  <c r="E31" i="6"/>
  <c r="D31" i="6"/>
  <c r="C31" i="6"/>
  <c r="B31" i="6"/>
  <c r="A31" i="6"/>
  <c r="H30" i="6"/>
  <c r="F30" i="6"/>
  <c r="E30" i="6"/>
  <c r="D30" i="6"/>
  <c r="C30" i="6"/>
  <c r="B30" i="6"/>
  <c r="A30" i="6"/>
  <c r="H29" i="6"/>
  <c r="G29" i="6"/>
  <c r="F29" i="6"/>
  <c r="E29" i="6"/>
  <c r="D29" i="6"/>
  <c r="C29" i="6"/>
  <c r="B29" i="6"/>
  <c r="A29" i="6"/>
  <c r="H28" i="6"/>
  <c r="G28" i="6"/>
  <c r="F28" i="6"/>
  <c r="E28" i="6"/>
  <c r="D28" i="6"/>
  <c r="C28" i="6"/>
  <c r="B28" i="6"/>
  <c r="A28" i="6"/>
  <c r="H27" i="6"/>
  <c r="F27" i="6"/>
  <c r="E27" i="6"/>
  <c r="D27" i="6"/>
  <c r="C27" i="6"/>
  <c r="B27" i="6"/>
  <c r="A27" i="6"/>
  <c r="H26" i="6"/>
  <c r="F26" i="6"/>
  <c r="E26" i="6"/>
  <c r="D26" i="6"/>
  <c r="C26" i="6"/>
  <c r="B26" i="6"/>
  <c r="A26" i="6"/>
  <c r="H25" i="6"/>
  <c r="G25" i="6"/>
  <c r="F25" i="6"/>
  <c r="E25" i="6"/>
  <c r="D25" i="6"/>
  <c r="C25" i="6"/>
  <c r="B25" i="6"/>
  <c r="A25" i="6"/>
  <c r="H24" i="6"/>
  <c r="G24" i="6"/>
  <c r="F24" i="6"/>
  <c r="E24" i="6"/>
  <c r="D24" i="6"/>
  <c r="C24" i="6"/>
  <c r="B24" i="6"/>
  <c r="A24" i="6"/>
  <c r="H23" i="6"/>
  <c r="G23" i="6"/>
  <c r="F23" i="6"/>
  <c r="E23" i="6"/>
  <c r="D23" i="6"/>
  <c r="C23" i="6"/>
  <c r="B23" i="6"/>
  <c r="A23" i="6"/>
  <c r="H22" i="6"/>
  <c r="G22" i="6"/>
  <c r="F22" i="6"/>
  <c r="E22" i="6"/>
  <c r="D22" i="6"/>
  <c r="C22" i="6"/>
  <c r="B22" i="6"/>
  <c r="A22" i="6"/>
  <c r="G21" i="6"/>
  <c r="F21" i="6"/>
  <c r="E21" i="6"/>
  <c r="D21" i="6"/>
  <c r="C21" i="6"/>
  <c r="B21" i="6"/>
  <c r="A21" i="6"/>
  <c r="G20" i="6"/>
  <c r="F20" i="6"/>
  <c r="E20" i="6"/>
  <c r="D20" i="6"/>
  <c r="C20" i="6"/>
  <c r="B20" i="6"/>
  <c r="A20" i="6"/>
  <c r="G19" i="6"/>
  <c r="F19" i="6"/>
  <c r="E19" i="6"/>
  <c r="D19" i="6"/>
  <c r="C19" i="6"/>
  <c r="B19" i="6"/>
  <c r="A19" i="6"/>
  <c r="G18" i="6"/>
  <c r="F18" i="6"/>
  <c r="E18" i="6"/>
  <c r="D18" i="6"/>
  <c r="C18" i="6"/>
  <c r="B18" i="6"/>
  <c r="A18" i="6"/>
  <c r="G17" i="6"/>
  <c r="F17" i="6"/>
  <c r="E17" i="6"/>
  <c r="D17" i="6"/>
  <c r="C17" i="6"/>
  <c r="B17" i="6"/>
  <c r="A17" i="6"/>
  <c r="G16" i="6"/>
  <c r="F16" i="6"/>
  <c r="E16" i="6"/>
  <c r="D16" i="6"/>
  <c r="C16" i="6"/>
  <c r="B16" i="6"/>
  <c r="A16" i="6"/>
  <c r="I15" i="6"/>
  <c r="G15" i="6"/>
  <c r="F15" i="6"/>
  <c r="E15" i="6"/>
  <c r="D15" i="6"/>
  <c r="C15" i="6"/>
  <c r="B15" i="6"/>
  <c r="A15" i="6"/>
  <c r="G14" i="6"/>
  <c r="F14" i="6"/>
  <c r="E14" i="6"/>
  <c r="D14" i="6"/>
  <c r="C14" i="6"/>
  <c r="B14" i="6"/>
  <c r="A14" i="6"/>
  <c r="G13" i="6"/>
  <c r="F13" i="6"/>
  <c r="E13" i="6"/>
  <c r="D13" i="6"/>
  <c r="C13" i="6"/>
  <c r="B13" i="6"/>
  <c r="A13" i="6"/>
  <c r="G12" i="6"/>
  <c r="F12" i="6"/>
  <c r="E12" i="6"/>
  <c r="D12" i="6"/>
  <c r="C12" i="6"/>
  <c r="B12" i="6"/>
  <c r="A12" i="6"/>
  <c r="G11" i="6"/>
  <c r="F11" i="6"/>
  <c r="E11" i="6"/>
  <c r="D11" i="6"/>
  <c r="C11" i="6"/>
  <c r="B11" i="6"/>
  <c r="A11" i="6"/>
  <c r="G10" i="6"/>
  <c r="F10" i="6"/>
  <c r="E10" i="6"/>
  <c r="D10" i="6"/>
  <c r="C10" i="6"/>
  <c r="B10" i="6"/>
  <c r="A10" i="6"/>
  <c r="G9" i="6"/>
  <c r="F9" i="6"/>
  <c r="E9" i="6"/>
  <c r="D9" i="6"/>
  <c r="C9" i="6"/>
  <c r="B9" i="6"/>
  <c r="A9" i="6"/>
  <c r="G8" i="6"/>
  <c r="F8" i="6"/>
  <c r="E8" i="6"/>
  <c r="D8" i="6"/>
  <c r="C8" i="6"/>
  <c r="B8" i="6"/>
  <c r="A8" i="6"/>
  <c r="G7" i="6"/>
  <c r="F7" i="6"/>
  <c r="E7" i="6"/>
  <c r="D7" i="6"/>
  <c r="C7" i="6"/>
  <c r="B7" i="6"/>
  <c r="A7" i="6"/>
  <c r="H6" i="6"/>
  <c r="G6" i="6"/>
  <c r="F6" i="6"/>
  <c r="E6" i="6"/>
  <c r="D6" i="6"/>
  <c r="C6" i="6"/>
  <c r="B6" i="6"/>
  <c r="A6" i="6"/>
  <c r="H5" i="6"/>
  <c r="G5" i="6"/>
  <c r="F5" i="6"/>
  <c r="E5" i="6"/>
  <c r="D5" i="6"/>
  <c r="C5" i="6"/>
  <c r="B5" i="6"/>
  <c r="A5" i="6"/>
  <c r="H4" i="6"/>
  <c r="G4" i="6"/>
  <c r="F4" i="6"/>
  <c r="E4" i="6"/>
  <c r="D4" i="6"/>
  <c r="C4" i="6"/>
  <c r="B4" i="6"/>
  <c r="A4" i="6"/>
  <c r="H3" i="6"/>
  <c r="G3" i="6"/>
  <c r="F3" i="6"/>
  <c r="E3" i="6"/>
  <c r="D3" i="6"/>
  <c r="C3" i="6"/>
  <c r="B3" i="6"/>
  <c r="A3" i="6"/>
  <c r="H2" i="6"/>
  <c r="G2" i="6"/>
  <c r="F2" i="6"/>
  <c r="E2" i="6"/>
  <c r="D2" i="6"/>
  <c r="C2" i="6"/>
  <c r="B2" i="6"/>
  <c r="A2" i="6"/>
  <c r="J1" i="6"/>
  <c r="I1" i="6"/>
  <c r="H1" i="6"/>
  <c r="G1" i="6"/>
  <c r="F1" i="6"/>
  <c r="E1" i="6"/>
  <c r="D1" i="6"/>
  <c r="C1" i="6"/>
  <c r="B1" i="6"/>
  <c r="A1" i="6"/>
  <c r="I12" i="5"/>
  <c r="F12" i="5"/>
  <c r="E12" i="5"/>
  <c r="D12" i="5"/>
  <c r="C12" i="5"/>
  <c r="B12" i="5"/>
  <c r="A12" i="5"/>
  <c r="I11" i="5"/>
  <c r="H11" i="5"/>
  <c r="G11" i="5"/>
  <c r="F11" i="5"/>
  <c r="E11" i="5"/>
  <c r="D11" i="5"/>
  <c r="C11" i="5"/>
  <c r="B11" i="5"/>
  <c r="A11" i="5"/>
  <c r="I10" i="5"/>
  <c r="F10" i="5"/>
  <c r="E10" i="5"/>
  <c r="D10" i="5"/>
  <c r="C10" i="5"/>
  <c r="B10" i="5"/>
  <c r="A10" i="5"/>
  <c r="I9" i="5"/>
  <c r="H9" i="5"/>
  <c r="G9" i="5"/>
  <c r="F9" i="5"/>
  <c r="E9" i="5"/>
  <c r="D9" i="5"/>
  <c r="C9" i="5"/>
  <c r="B9" i="5"/>
  <c r="A9" i="5"/>
  <c r="I8" i="5"/>
  <c r="H8" i="5"/>
  <c r="G8" i="5"/>
  <c r="F8" i="5"/>
  <c r="E8" i="5"/>
  <c r="D8" i="5"/>
  <c r="C8" i="5"/>
  <c r="B8" i="5"/>
  <c r="A8" i="5"/>
  <c r="I7" i="5"/>
  <c r="G7" i="5"/>
  <c r="F7" i="5"/>
  <c r="E7" i="5"/>
  <c r="D7" i="5"/>
  <c r="C7" i="5"/>
  <c r="B7" i="5"/>
  <c r="A7" i="5"/>
  <c r="I6" i="5"/>
  <c r="H6" i="5"/>
  <c r="G6" i="5"/>
  <c r="F6" i="5"/>
  <c r="E6" i="5"/>
  <c r="D6" i="5"/>
  <c r="C6" i="5"/>
  <c r="B6" i="5"/>
  <c r="A6" i="5"/>
  <c r="H5" i="5"/>
  <c r="G5" i="5"/>
  <c r="F5" i="5"/>
  <c r="E5" i="5"/>
  <c r="D5" i="5"/>
  <c r="C5" i="5"/>
  <c r="B5" i="5"/>
  <c r="A5" i="5"/>
  <c r="I4" i="5"/>
  <c r="H4" i="5"/>
  <c r="G4" i="5"/>
  <c r="F4" i="5"/>
  <c r="E4" i="5"/>
  <c r="D4" i="5"/>
  <c r="C4" i="5"/>
  <c r="B4" i="5"/>
  <c r="A4" i="5"/>
  <c r="I3" i="5"/>
  <c r="H3" i="5"/>
  <c r="G3" i="5"/>
  <c r="F3" i="5"/>
  <c r="E3" i="5"/>
  <c r="D3" i="5"/>
  <c r="C3" i="5"/>
  <c r="B3" i="5"/>
  <c r="A3" i="5"/>
  <c r="I2" i="5"/>
  <c r="F2" i="5"/>
  <c r="E2" i="5"/>
  <c r="D2" i="5"/>
  <c r="C2" i="5"/>
  <c r="B2" i="5"/>
  <c r="A2" i="5"/>
  <c r="J1" i="5"/>
  <c r="I1" i="5"/>
  <c r="H1" i="5"/>
  <c r="G1" i="5"/>
  <c r="F1" i="5"/>
  <c r="E1" i="5"/>
  <c r="D1" i="5"/>
  <c r="C1" i="5"/>
  <c r="B1" i="5"/>
  <c r="A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CACBB725-7A2B-4463-A221-B2B4440BAA28}">
      <text>
        <r>
          <rPr>
            <sz val="10"/>
            <color rgb="FF000000"/>
            <rFont val="Arial"/>
            <family val="2"/>
            <scheme val="minor"/>
          </rPr>
          <t>======
ID#AAAAkiSTfic
    (2022-11-30 13:18:47)
verify match "subcat" and "description"
provide meaningful info in "description" (use "final description")
add "access type": on-site, remote, on-site and remote
add "status": available / unavailable
add: contextual information/expertise
add: keywords (max 5)
add: training (y/n) and training info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A00-000001000000}">
      <text>
        <r>
          <rPr>
            <sz val="10"/>
            <color rgb="FF000000"/>
            <rFont val="Arial"/>
            <scheme val="minor"/>
          </rPr>
          <t>the function is not working!!
=IMPORTRANGE("https://docs.google.com/spreadsheets/d/1cTJhHX6toeLwUzYfDzL_bHPeymR1SFgR/edit#gid=1396441050", "ISPRA!A:J")
	-Davide Di Cioccio
currently using a simple copy-paste
	-Davide Di Cioccio</t>
        </r>
      </text>
    </comment>
  </commentList>
</comments>
</file>

<file path=xl/sharedStrings.xml><?xml version="1.0" encoding="utf-8"?>
<sst xmlns="http://schemas.openxmlformats.org/spreadsheetml/2006/main" count="1085" uniqueCount="458">
  <si>
    <t>category</t>
  </si>
  <si>
    <t>subcategory</t>
  </si>
  <si>
    <t>access type</t>
  </si>
  <si>
    <t>status</t>
  </si>
  <si>
    <t>contextual information or expertise associated to the service</t>
  </si>
  <si>
    <t>keywords of the service</t>
  </si>
  <si>
    <t>Data sets</t>
  </si>
  <si>
    <t>CNR-IAS-CG</t>
  </si>
  <si>
    <t>Provision of oceanographic and pelagic data sets (1998 to date)</t>
  </si>
  <si>
    <t>Marine data/statistics from the autonomous marine observatory "Mooring Dirigibile Italia" in the Kongsfjorden and meteorology/radiation data/statistics from the "Climate Change Tower" in Ny-Alesund (Svalbard)</t>
  </si>
  <si>
    <t>remote</t>
  </si>
  <si>
    <t>Coastal research vessels</t>
  </si>
  <si>
    <t>Coastal research vessels for biological sampling and oceanographic parameters collection in the Strait of Sicily or at the Mediterranean scale</t>
  </si>
  <si>
    <t>Research vessel "Luigi Sanzo", 15 m LOA with hydraulic crane can be operated at the Mediterranean scale. Support vessel "Bio4U", 7.5 m LOA, can be operated around Sicily &lt;12 nm. In both cases support to diving and sampling is available.</t>
  </si>
  <si>
    <t>on-site</t>
  </si>
  <si>
    <t>Remote sensing and telemetry</t>
  </si>
  <si>
    <t>Recording and analysis of underwater sounds and acoustic surveys for biomass assessment of small-sized pelagic fish</t>
  </si>
  <si>
    <t>Recording of underwater sounds (from organisms and environment) in tanks and at sea. Ethernet- and RS232- devices for parameters collection and device testing is available. Experimental acoustic surveys for biomass assessment of small-sized pelagic fish from hired vessel can be performed. Custom-built, non-commercial software can be developed for the analysis of acoustic data seta.</t>
  </si>
  <si>
    <t>Organisms collected in the wild</t>
  </si>
  <si>
    <t>CNR-IAS-O</t>
  </si>
  <si>
    <t>Provision of marine/brackish water model organisms</t>
  </si>
  <si>
    <t>Collection by fishing gear of fishes (Dicentrarchus labrax, Mugil cephalus, Liza aurata, Mullus barbatus) and invertebrates (Paracentrotus lividus) from nearby locations</t>
  </si>
  <si>
    <t>Wet laboratories</t>
  </si>
  <si>
    <t>Laboratories dedicated to ecophysiological and behavioural studies with marine fishes and invertebrates. Anoxic and temperature controlled conditions can be provided.</t>
  </si>
  <si>
    <t>Strong expertise in the design of ecophysiological and behavioural experimentation with marine fishes and invertebrates is provided for the use of local experimental facilities. Contextually, the video footage recorded with high-speed cameras in the lab can be anaysed (i.e., video tracking) with specific commercial software. Contextual access to microscope laboratory with stereomicroscope for macrofauna and zooplankton observation.</t>
  </si>
  <si>
    <t>CNR-IRBIM-L</t>
  </si>
  <si>
    <t>Collect and supply of fauna specimens in Lesina lagoon</t>
  </si>
  <si>
    <t>on-site and remote</t>
  </si>
  <si>
    <t>Access and sampling of intertidal areas of the Lesina lagoon (small aluminum boat for lagoon waters, 4 m)</t>
  </si>
  <si>
    <t>Access to Lesina lagoon by research vessel "Sandalo" (lenght 6m). Equipment for sampling (Niskin bottles, multiparametric probes, box-corer, phytoplankton and zooplankton nets) is available. A number of inverted microscope is available for phytoplankton samples cells counting is available.</t>
  </si>
  <si>
    <t>Access to inshore stations of intertidal areas of the Lesina lagoon</t>
  </si>
  <si>
    <t>Inshore meteorological station(ISMAR laboratories), 20 m away from south-western shore of the Lesina lagoon, is availabable fpr data retrieving. Data: wind speed and direction, air temperature, atmospheric pressure, humidity, precipitation. Real time data transmissionHydro station, 10 m from the shore, bottom depth 05-07 m. data: water temperature and level. Real time data transmission.</t>
  </si>
  <si>
    <t>Structural and chemical analysis</t>
  </si>
  <si>
    <t>Environmental analysis of nutrients, chlorophyll a, Dissolved Organic Carbon and its chromophoric fraction</t>
  </si>
  <si>
    <t>Chemical lab equipped with Autoanalyzer 3 - Bran + Luebbe (Norderstedt, Germany) and Trilogy laboratory Fluorometer (Turner Designs, V. 1.2); SHIMADZUTOC-L CHS series + SSM 5000 and to SHIMADZU 2600 series dual beam UV-VIS spectrophotometer</t>
  </si>
  <si>
    <t>CNR-IRBIM-M</t>
  </si>
  <si>
    <t>Collect and supply of bony fishes, cephalopods, crustaceans and elasmobranchs from GSA10</t>
  </si>
  <si>
    <t>Taxonomic services</t>
  </si>
  <si>
    <t>CNR-IRSA-T</t>
  </si>
  <si>
    <t>Access to the Herbarium TAR for observation and loan</t>
  </si>
  <si>
    <t>Collection of organisms of different groups; Expert taxonomists support for marine taxa available</t>
  </si>
  <si>
    <t>Access and sampling in the Mar Piccolo of Taranto, Ionian Sea transitional site (sampling of water, sediment, phyto, zooplankton, benthos) on the boat Gerax-Vorax</t>
  </si>
  <si>
    <t>7 m outboard boat equipped for diving support and light sampling. Support to diving and sampling (Niskin bottle, light Van Veen Bucket, plankton nets, dredge for benthos collection) is also available.</t>
  </si>
  <si>
    <t>CNR-IRSA-V</t>
  </si>
  <si>
    <t>DNA taxonomy, statistics</t>
  </si>
  <si>
    <t>single rooms with shared kitchen and bathrooms</t>
  </si>
  <si>
    <t>Access to the dataset on animals found in subterranean waters</t>
  </si>
  <si>
    <t>CNR-ISMAR</t>
  </si>
  <si>
    <t>Collection of benthic model organisms (Ciona, mussels, oysters, anemones, polychaetes etc.) and macroalgae from the Venice lagoon and nearby marine coastal waters</t>
  </si>
  <si>
    <t>Data analysis tools and software</t>
  </si>
  <si>
    <t>MSP (Marine Spatial Planning) tools</t>
  </si>
  <si>
    <t>Software-algorithms development and customization available upon request. Expertize on high resolution Multibeam, habitat mapping, videotransects, videoimaging (Venice lagoon, channels, coastal sites), Training expertize and facilities on Multibeam, habitat mapping, GIS. VM managment with SAN data storage and tape library backup available</t>
  </si>
  <si>
    <t>Access/ sampling in the Venice lagoon and nearby marine coastal sites (sampling of water, sediment, phyto, zooplankton, benthos, microplastic debris)</t>
  </si>
  <si>
    <t>Bioassays</t>
  </si>
  <si>
    <t>Access to ecotoxicology, chemistry labs (for genotoxicity, biochemical, cellular, histochemical and physiological biomarkers, histological and metal /organics for bioaccumulation analyses)</t>
  </si>
  <si>
    <t>Access to Aqua Alta offshore oceanographic tower equipped with meteomarine and hydrographic sensors, wet lab, underwater videocameras and available to install sensors/automatic samplers</t>
  </si>
  <si>
    <t>Aqua Alta is a unique offshore tower equipped with autonomous meteo-oceanographic instrumentation, sensors for hydrology, ADCP, hydrophones and 2 fixed underwater video cameras (continuos recording), wide band intranet connection, two rooms (small lab and accomodation)</t>
  </si>
  <si>
    <t>CNR-ISP-BO</t>
  </si>
  <si>
    <t>MDI Oceanographic Mooring and Climate change Tower Datasets from the Kongsfjorden area (Svalbard)</t>
  </si>
  <si>
    <t>Access to Oceanographic parameters of marine observatory in Kongsfjorden, Svalbard Island</t>
  </si>
  <si>
    <t>The infrastructure is available for specific experiments, sensor testing and in situ validation, or to collect additional data to those already acquired by the operator. The access includes the use of the facilities of the “Arctic Station Dirigibile Italia”, including its laboratories. The station is equipped with everything needed for pre-conditioning the collected samples. Boats are available for rent locally.</t>
  </si>
  <si>
    <t>Analyses on organic tissues and sediments: CHN Elemental composition, delta13C, delta 15N, organic matter tracers</t>
  </si>
  <si>
    <t>Access to organic chemistry lab for analyses on organic tissues and sediments: CHN Elemental composition, delta13C, delta 15N, organic matter tracers</t>
  </si>
  <si>
    <t>Culture collections</t>
  </si>
  <si>
    <t>CNR-ISP-ME</t>
  </si>
  <si>
    <t>Access to the Culture Collection of Microorganisms from Cryoenvironments – MICR(Y)O, including microbial strains, mainly bacteria, isolated from different environmental sources in the Arctic and Antarctica.</t>
  </si>
  <si>
    <t>Access to taxonomic services of bacteria from extreme environments, microbial communities and bacterial isolates provided from users.</t>
  </si>
  <si>
    <t>Laboratory equipped for cultivation and isolation of extreme microorganisms , Application of selective media, enzimatyc screening</t>
  </si>
  <si>
    <t>Aquaria and tanks</t>
  </si>
  <si>
    <t>Tanks available for manipulative experiments on arctic marine invertebrates. Climate controlled room with experimental seawater tanks for maintenance and experiments on marine organisms, microcosms, in Ny-Ålesund (Svalbard, Norway)</t>
  </si>
  <si>
    <t>Expert knowledge of handling and experimentation on marine organisms.</t>
  </si>
  <si>
    <t>Climate controlled rooms</t>
  </si>
  <si>
    <t>Access to Facility for controlled microorganisms’ cultivation, including incubator vessels at high pressure, environmental remediation technologies testing (e.g. bioremediation and sediment remediation), laboratory for cultivation of aerobic microbial communities, screening of bacterial isolates for their antibiotic susceptibility and enzymatic profiles, plastic-associated microbiota (plastisphere) structural and functional characterization.</t>
  </si>
  <si>
    <t>Laboratory for cultivation of aerobic microbial communities, screening of bacterial isolates for their antibiotic susceptibility and enzymatic profiles; plastic-associated microbiota (plastisphere) structural and functional characterization at ISP Messina. Suitable for incubation under pressure of up to 50 Mpa; Experimentation of technologies for confinement and oxygenation of sediment to accelerate natural biodegradation processes</t>
  </si>
  <si>
    <t>Access to facility for microbial enzymatc activities testing (leucin aminopeptidase, beta-glucosidase and alkaline phosphatase); Respiratory (ETS) activity, Carbon substrates utilization profiles (Biolog Ecoplates)</t>
  </si>
  <si>
    <t>Two decades experience in enzymatic activity and respiratory rates involved in organic matter turnover in different matrices (water, sediments, marine, brackish and freshwater environments); physiological response (digestive and immune functions) of marine Teleosts to natural and anthropic stressors</t>
  </si>
  <si>
    <t>Molecular biology and omics</t>
  </si>
  <si>
    <t>Cultivation and genomic analysis of microorganisms isolated from extreme environments</t>
  </si>
  <si>
    <t>Polar Bacterial strain cultivation and identification; screening for biotechnological potentialities; bioinformatics</t>
  </si>
  <si>
    <t>Polar acoustic measurements for maritime traffic and marine megafauna assessment</t>
  </si>
  <si>
    <t>Polar Acoustic data analysis; Estimation of underwater noise and environmental acoustic components; Evaluation of ecological dynamics through the analysis of the acoustic vocalizations of marine mammals; Analysis of the biochemical, physiological and behavioural responses of animals exposed to acoustic disturbance.</t>
  </si>
  <si>
    <t>CNR-ISP-RM</t>
  </si>
  <si>
    <t>Taxonomic fingerprint of main microbial groups (Grampositive, Gram-negative bacteria and Fungi)</t>
  </si>
  <si>
    <t>Access to full equipped lab for legacy and emerging organic contaminants: GC-MS (PAHs, PCBs, old and new generation pesticides , PBDEs, etc. ) and HPLC- Orbitrap Exploris 120 (pharmaceuticals, personal care products, pesticides, plasticizers, Bisphenol A, etc. ) on biotic (organisms and vegetation) and abiotic (water, sediment, soil, sewage) matrices collected in polar areas and at mid-latitudes. Estimate of risk associated with the contamination detected in different matrices of aquatic and terrestrial compartments</t>
  </si>
  <si>
    <t>Microcosms - Lab-scale experiments using synthetic and real environmental matrices to evaluate the persistence of pollutants (half-life time - DT50), their bioaccumulation, and the effects on microbial communities or specific target organisms (ecotoxicological test)</t>
  </si>
  <si>
    <t>Evaluation of the persistence of organic contaminants (degradation rates and DT50) related to chemical, physical and biological processes, bioaccumulation (livings and vegetation), and evaluation of the effects of contaminants on target organisms (i.e. Eisenia Faetida), structure, and functioning of natural microbial community</t>
  </si>
  <si>
    <t>Access to structural and chemical analysis labs of ISP-ROMA, including: CLPP microbiology lab for evaluation of the structure and metabolic properties of natural microbial communities in relation to contamination data; MICROCHEM facility for the determination of legacy and emerging organic contaminants in environmental matrices and the assessment of environmental risk associated with contamination data measured in situ at polar areas and mid- latitudes</t>
  </si>
  <si>
    <t>Assessment of microbial profiling through a taxonomic fingerprint of the main microbial groups (Grampositive, Gram-negative bacteria and Fungi) by biochemical methods (PhosphoLipid Fatty Acid analysis-PLFA) and assessment of the spatial and temporal changes in the metabolism of microbial communities by the spectrophotometric method community-level physiological profiling (CLPP)</t>
  </si>
  <si>
    <t>CNR-ISP-VE</t>
  </si>
  <si>
    <t>Access to Ultra-Clean Labs</t>
  </si>
  <si>
    <t>Access to ultra clean labs (contamination controlled environments) for pre-analytical sample operations (e.g samples from Polar regions)</t>
  </si>
  <si>
    <t>Access to lab for environmental analytical chemistry and micro/nano plastics characterisation</t>
  </si>
  <si>
    <t>Access to a full equipped lab for inorganic, organic chemistry analyses and microplastics research lab, including mass spectrometry (high and low resolution), optical emission spectroscopy, Isotope Ratio analyses, atomic fluorescence. organic chemistry analyses: HPLC-Orbitrap (metabolomic analysis, untargeted contaminats analysis), HPLC-MS/MS (PFAS, Bisphenol A, pharmaceiticals, neonicotinoid compounds),GC-MS/MS ( IPA, PCB, personal care products, flame retardants), etc.. To characterize microplastics it's available a research lab equipped with Micro-FTIR Infrared Microscope and Py-GC/MS for polimeric characterisation.</t>
  </si>
  <si>
    <t>CONISMA-POLIBA</t>
  </si>
  <si>
    <t>Field stations for environmental data monitoring in the Taranto area</t>
  </si>
  <si>
    <t>Access to the POLIBA Laboratory of Coastal Engeneering (LIC) equipped with multiple 90x50x1,20 meters tanks and sensors equipped for physical modeling of coastal and offshore phenomena</t>
  </si>
  <si>
    <t>Rearing of aquaculture animals</t>
  </si>
  <si>
    <t>CONISMA-UNICAM</t>
  </si>
  <si>
    <t>Rearing facilities for fish and macroinvertebrates, aquaculture facilities and support to fish rearing (e.g., neuroendocrine control of fish reproduction , welfare of farmed fish , food quality safety of fishery production)</t>
  </si>
  <si>
    <t>Fish species that can be farmed are the gilthead sea bream (Sparus aurata), the grey mullet (Mugil cephalus), the rainbow trout (Oncorhynchus mykiss), the goldfish (Carassius auratus), the mediterranean mussel (Mytilus galloprovincialis), the European flat oyster (Ostrea edulis) and the marine gastropod (Tritia mutabilis).</t>
  </si>
  <si>
    <t>Access to database of ecological data measured at the Riserva Naturale Regionale Sentina from 2014, SIC Grottammare from 2014</t>
  </si>
  <si>
    <t>The database includes monthly local landings per species/group of species of the fish market of Chioggia, from 1945 to present, data are yearly updated. Characteristics of the fishing fleet, on a monthly base, from 1991 to present, data are yearly updated. Database of records of rare, protected or alien species.</t>
  </si>
  <si>
    <t>Access to marine ecosystems Costa del Piceno S. Nicola a Mare SIC and Riserva Naturale Regionale Sentina (Intertidal sandy habitat, Subtidal rocky / hard habitat, Subtidal soft bottom, Coastal dunes)</t>
  </si>
  <si>
    <t>Diving professionals support is available. Sample processing is available on request: dissecting microscopes, steromicroscopes, scales, -80 and - 20 freezer; coastal/dunal vegetation and marine macrofauna taxonomic identification; climate controlled room with experimental running seawater tanks for maintenance and experiments on marine organisms; sample analysis using UV-VIS spectrophotometry, GC-chromatography, HPLC analysis with UV-VIS and fluorescence detection, HPLC MS/MS; basic and advances molecular biology lab; qPCR; iSEQ 100 Illumina benchtop sequencer.</t>
  </si>
  <si>
    <t>Access to toxicogenomics platform on fish cellular models (including E-Screen, YES and YAS assay, biosensors platform “On-surface” binding studies using a biosensor-based approach for detecting environmental contaminants in real matrices)</t>
  </si>
  <si>
    <t>Vitellogenin assay on ELISA; E-Screen assay, YES/YAS assay; ; biosensors platform “On-surface”, bioanalytical methods to detect environmental contaminants in real matrices, binding studies using a biosensor-based approach for measuring environmental contaminants effects on biological targets.</t>
  </si>
  <si>
    <t>Access to remote sensing equipment (including: multiparametric probe; mantra trap for microplastic collection; GIS and telemetry. Environmental data acquisition systems ; sediment analysis ; bathymetric surveys and side scan sonar)</t>
  </si>
  <si>
    <t>The service is based on the use of geographic information systems (ArcMap or QGIS) and in this perspective, various spatial and spatio-temporal analysis can be performed. Carrying out surveys (also georeferenced) of fauna and flora of coastal areas. Mantra trap, multiparametric analysis available.</t>
  </si>
  <si>
    <t>CONISMA-UNIPD</t>
  </si>
  <si>
    <t>Provision of species from the Venice lagoon and North-Western Adriatic Sea by scuba divers sampling</t>
  </si>
  <si>
    <t>Collection of live samples for experimentation/shipment: Adriatic and lagoon species of planktonic microalgae, Seaweeds, Copepods, Benthic macrofauna of soft bottom, Benthic macrofauna of hard (artificial) bottom, Teleosts, Elasmobranchs. 10 x 70 L, 10 x 60 L, 10 x 25 L climate controlled aquaria for sample preservation are available on request.</t>
  </si>
  <si>
    <t>Database on landings from Chioggia Fishing Fleets 1945 - present, dataset of physical water parameters in the Venice lagoon (1973-present)</t>
  </si>
  <si>
    <t>Access to the Venice lagoon, North-Western Adriatic shores, MOSE platform in the port of Chioggia (2 motorboats) with equipment for sampling and sample study</t>
  </si>
  <si>
    <t>In-house lodging</t>
  </si>
  <si>
    <t>Hosting of visiting groups/scientists (forthcoming). Access to in-house lodging at Chioggia Marine station</t>
  </si>
  <si>
    <t>Bed in shared room, shared bathroom, common kitchen and dining room.</t>
  </si>
  <si>
    <t>CONISMA-UNISALENTO</t>
  </si>
  <si>
    <t>Collection and rearing of marine organisms (model and non-model, benthic and planktonic taxa) including rare taxa, such as hemichordate pterobranchs. integrative (morphological, ontogenetic, molecular) taxonomy on marine invertebrates and fish. Environmental DNA sampling and analysis.</t>
  </si>
  <si>
    <t>Access to rearing facilities for fish and macroinvertebrates, including aquaria, tanks and lab-controlled system for manipulative experiments on marine invertebrates and support to fish rearingaquaculture facilities and support to fish rearing</t>
  </si>
  <si>
    <t>benthic communities, gelatinous plankton</t>
  </si>
  <si>
    <t>Access to physical-chemical-biological data sets for the area (Gulf of La Spezia) including those from LTER Data Macro Site IT 15 (Eastern Ligurian Sea, http://www.lteritalia.it/?q=siti/mar-ligure-orientale) and Smart Bay Santa Teresa observatory (in situ real time data acquisition and trasmission via IoUT systems)(https://smartbaysteresa.com/en/); Support on data management, data discovery and download from the main Ocean European and global infrastructures, DOI free minting services; Gamma spectrometry for sediment core dating and for renconstruction of recent changes in micro and macro benthic organisms in sediment samples</t>
  </si>
  <si>
    <t>Research vessel PELAGIA Aquatic Mobile Lab (12.5 ton, length 14.5 m, engine power : 2 x 350 HP, cruise speed : 15 kn, max # persons 10 sci staff + 2 crew members); sampling equipment: grabs, dredges, plankton and neuston nets, NISKIN bottles, SCUBA facilities (tanks, air or NITROX refilling stations). Contextually, samples can be taxonomically identified and studied via microscopy (light microscope, dissecting microscope, videocamera, image analysis system) and basic molecular biology lab (including DNA barcoding and eDNA metabarcoding) on request</t>
  </si>
  <si>
    <t>Aquaria and tanks and lab-controlled system for manipulative experiments on marine invertebrates; Rearing facilities for fish and macroinvertebrates, aquaculture facilities and support to fish rearing</t>
  </si>
  <si>
    <t>Metabolic studies &amp; Metabolomic lab</t>
  </si>
  <si>
    <t>Bruker Avance III 400 MHz NMR spectrometer, Milestone Start D Microwave Mineralizer, Perkin Elmer Lambda 16 UV-Vis spectrophotometer, Thermo Scientific iCAP 6300 Duo ICP-AES spectrometer, Bruker Fourier 80 NMR Spectrometer - Methabolic Profiler composed of: AVANCE III HDTM 600 Superconducting FT-NMR Spectrometer, BRUKER Daltonics MicroTOF Q ESI Q TOF Mass Spectrometer, LC-SPE, NMR accessory, Metabolic Profiling Software. Dedicated hardware and software for metabolomics studies</t>
  </si>
  <si>
    <t>CONISMA-UNIURB</t>
  </si>
  <si>
    <t>Coastal research vessel "Athena" used for ecosystem access to NW Adriatic Sea for plankton sampling and SCUBA activities Access to NW Adriatic Sea for sampling and diving.</t>
  </si>
  <si>
    <t>Vessel Specifics: max 6 nautical miles offshore, 24 nm per day , 30 m depth , sandy bottom using the Research vessel Athena (6.62 ton, Engine power : 2 x 130.5 HP, Cruise speed : 15 kn, Max people crew included: 6). Pesaro Porto sampling equipments: multiparametric probes (IDRONAUT ocean7 316) with 50m cable; phytoplankton nets; water filtration systems; support to scientific scuba diving, underwater towed video camera. Support to scientific SCUBA diving Current meter (IDROMAR SENSORDATA SD 4), Van Veen grab (25 L), Box corer (WxL: 9x16 cm, H: 24 cm). Contextual taxonomic identification available.</t>
  </si>
  <si>
    <t>ENEA-LS</t>
  </si>
  <si>
    <t>Access to collection of organisms in the wild</t>
  </si>
  <si>
    <t>Collection of marine organisms in coastal marine sites (regional parks, Posidonia meadows, coralligenous habitats, intertidal habitats), impacted areas (ports), Smart Bay Santa Teresa (https://smartbaysteresa.com); Taxonomic services on marine invertebrates: expertise and sample collection of Bryozoans; Taxonomic books available for other invertebrate taxa; Microscopic facilities (optical microscopy, portable USB microscope for fieldwork activities); Underwater video and photography; Drones (air and water);Small library available for taxonomical and ecological studies of marine invertebrates</t>
  </si>
  <si>
    <t>Natural Bay (Baia S. Teresa) - in proximity of the mollusk aquaculture - for in situ sperimentation (short experiments). Scuba diving facilities (tanks and compressor for refill) available and boat.</t>
  </si>
  <si>
    <t>Access to physical-chemical-biological data sets for the area (Gulf of La Spezia) including those from LTER Data Macro Site IT 15 and Smart Bay Santa Teresa observatory</t>
  </si>
  <si>
    <t>Access to coastal research vessels for exploration of coastal marine sites in natural areas including Natural Regional Park of Porto Venere and the islands (Palmaria, Tino)and the Cinque Terre National Park and impacted areas (La Spezia port). Access to Smart Bay Santa Teresa (https://smartbaysteresa.com).</t>
  </si>
  <si>
    <t>Available ecosystems are: natural and artificial substrates; Posidonia meadows, coralligenous habitat, marine animal forest, bioconstructionalc alcifying ecosystems, intertidal rocky shores and bio-fouling communities. Vessels are: a motorboat equipped for diving, sediment coring, grab sampling, hydrological sampling; small boat for diving and snorkeling activities and hydrological sampling. Associated sampling equipment for: hydrological parameters, sediments, benthos for hard and soft bottoms, plankton Diving unit equipped with compressor and tanks. Personal diving equipment can be rented at local diving centers. Diving facilities are used to access ecosystems. Diving team includes two experienced scientific and polar divers; Diving unit equipped with compressor and tanks</t>
  </si>
  <si>
    <t>Semi closed circular system (mechanic and UV water filtration; total capability approx 1500L) composed by 12 experimental tanks for manipulative experiments (by using single and/or combined variables such as pCO2, temperature, lights, oxygen,...) on marine calcifying invetrebrates ; Aquaria (50 L) and tanks (10L); Climate controlled room (Thermostatic room for algal culturing and/or short manipulative experiments) available for manipulative experiments on coralline algae and calcifying marine invertebrates/ecosystems; Lab for manipulative experiments on live organisms (tanks and seawater reservoir). Additionally, binocular microscopes for observation on living organisms and sorting or for taxonomical studies on recent and fossil dried organisms are available.</t>
  </si>
  <si>
    <t>High-resolution monitoring stations (4) located in mullsk farming in the Gulf of La Spezia. In-situ high resolution multy proxy probes aquiring physico-chemical data (i.e., temperature, pH, pCO2, oxygen,..) and adata validation via analytical facilities (carbonate environment, oxygen and chlorphyll)</t>
  </si>
  <si>
    <t>Structural and Chemical Analysis</t>
  </si>
  <si>
    <t>Access to radioecology and geochronology technological platform, including gamma spectrometry for sediment core dating and for renconstruction of recent changes in micro and macro benthic organisms in sediment samples</t>
  </si>
  <si>
    <t>ENEA-NA</t>
  </si>
  <si>
    <t>Ecotoxicological bioassays can be performed on algae, bacteria, crustacea, echinodermi, mitili.</t>
  </si>
  <si>
    <t>ISPRA</t>
  </si>
  <si>
    <t>Access to organisms collection by fishing gear of fishes, by grab or corer of marine benthic invertebrates, algae and phanerogams, by plancton net of planctonic organisms</t>
  </si>
  <si>
    <t>Collection: by fishing gear of fishes; by grab or corer of marine benthic invertebrates, algae and phanerogams; by plancton net of planctonic organisms</t>
  </si>
  <si>
    <t>Taxonomic identification of marine macrobenthic organims, teleosts and elasmobranchs</t>
  </si>
  <si>
    <t>Access to Coastal research vessel LOA "Astrea" (26m) for biological sampling and oceanographic parameters collection in the Strait of Sicily or at the Mediterranean scale.</t>
  </si>
  <si>
    <t>Research vessel "Astrea", 26 m LOA  can be operated at the Mediterranean scale.</t>
  </si>
  <si>
    <t>Access to Environmental Analytical Chemistry Labs (inorganic and organic chemistry, water, sediment and biota chemical-physical analisys and microplastic extraction, isolation and identification from biotic matrices; equipment include: mass spectrometry (high and low resolution), optical emission spectroscopy, Isotope Ratio analyses, atomic fluorescence, HPLC-Orbitrap (metabolomic analysis, untargeted contaminants analysis), HPLC-MS/MS)</t>
  </si>
  <si>
    <t>Available equipment include: mass spectrometry (high and low resolution), optical emission spectroscopy, Isotope Ratio analyses, atomic fluorescence, HPLC-Orbitrap (metabolomic analysis, untargeted contaminats analysis), HPLC-MS/MS); water chemical-physical analisys include analysis of nutrients, chlorophyll a, Dissolved Organic Carbon and its chromophoric fraction; for analysis of microplastics MicroFT-IT (Lumos II) are used for microparticle analyses and accurate identification of polymers in ATR, trasmission and reflection spectroscopy.</t>
  </si>
  <si>
    <t>IZSPLV</t>
  </si>
  <si>
    <t>Necropsy-post mortem analysis and investigation laboratory for mammals and turtles</t>
  </si>
  <si>
    <t>Expertice and post mortem diagnostic and analisys</t>
  </si>
  <si>
    <t>Molecular Biology Core Facility</t>
  </si>
  <si>
    <t>End-point PCR, Real-time PCR, Sanger/Next Generation Sequencing(NGS-WGS), Microsatellyte analysis are available. . Ad hoc protocol development and data analyses and interpretation is available on request.</t>
  </si>
  <si>
    <t>Spectrometry Core Facility. Marine passive sample deployment for environmental pollution monitoring</t>
  </si>
  <si>
    <t>Maldi Biotyper (avanced tech. mass spectrometer) and IR Biotyper (avanced tech. infrared spectrometer) are available. . Ad hoc protocol development and data analyses and interpretation is available on request. Marine pollutant, drug metabolites</t>
  </si>
  <si>
    <t>OGS</t>
  </si>
  <si>
    <t>Access to CoSMI Microalgal Culture Collection containing ∼100 strains of phytoplanktonic species (Diatoms, Dinoflagellates, Cryptophytes, Prymnesiophytes, Chlorophytes, Prasinophytes, Euglenophytes, Dictyochophytes). Presence of potentially toxic dinoflagellates and diatoms responsible for blooms and species used in aquaculture and ecotoxicology. The complete list of species is available in the CoSMi website: http://cosmi.inogs.it/. Services of isolation from the wild, growth and identification of marine microorganisms by combining morphological observations and molecular analyses upon request</t>
  </si>
  <si>
    <t>CoSMi culture collection containing ∼100 strains of phytoplanktonic species (Diatoms, Dinoflagellates, Cryptophytes, Prymnesiophytes, Chlorophytes, Prasinophytes, Euglenophytes, Dictyochophytes). Presence of potentially toxic dinoflagellates and diatoms responsible for blooms and species used in aquaculture and ecotoxicology. The complete list of species is available in the CoSMi website: http://cosmi.inogs.it/. Services of isolation from the wild, growth and identification of marine microorganisms by combining morphological observations and molecular analyses upon request</t>
  </si>
  <si>
    <t>Access to service of Identification, sorting and characterization throught visual (morphology) and molecular approaches of Microzooplankton, Phytoplankton and Macrozoobenthos</t>
  </si>
  <si>
    <t>Contextual equipment for sample manipulation is available: climate rooms, wet labs, water manipulation equipment, water incubation units and aquaria are available. Gas supply available upon request. Imaging (epifluorescence microscopy, optical microscopy, flow cytometry), chemical measurement (nutrients, chlorophyll a and particulate organic C &amp; N) and molcular platform (PCR, RT-PCR, sample preparation for NGS) available on site</t>
  </si>
  <si>
    <t>A 10 meters vessel is available for manual seawater sampling (Niskin bottles, phytoplankton nets, CTD). Other boats can be rented on site if sediment sampling, zooplankton nets or the use of a rosette sampler is required. Max water depth for sampling is 25 m.</t>
  </si>
  <si>
    <t>SZN</t>
  </si>
  <si>
    <t>Collection and rearing of marine model organisms (ascidians, sea urchin, starfish, sea tutles, etc.) from the Gulf of Napoli</t>
  </si>
  <si>
    <t>The Marine Organism Taxonomy (MOTax) Unit is a specialized counseling center which exploits advanced resources, skills and expertise that are available today at the SZN for the taxonomy and identification of various groups of marine organisms providing qualitative and quantitative analysis of phytoplankton, zooplankton and benthos samples with morphological and molecular characterization</t>
  </si>
  <si>
    <t>Sorting, identification and isolation of phytoplankton, zooplankton, benthos from natural samples in collaboration with IRM. Isolation of single cells for the cultivation of microalgal strains. Organisms barcoding is available in collaboration with CSAM</t>
  </si>
  <si>
    <t>Access to The High Performance Computing and Bioinformatics platform, implementing bioninformatic dedicated services and training. Service offered are aimed to testing and offering dedicated strategies and resources, databases, scientific computational platforms for marine genomics.</t>
  </si>
  <si>
    <t>Access to the Competence Centre for Scientific Computing "c3s" of the University of Turin https://c3s.unito.it/index.php</t>
  </si>
  <si>
    <t>Access to LTER data: high CO2 low pH site, long-term monitoring from LTER MareChiara</t>
  </si>
  <si>
    <t>Access to data is strictly regulated and evaluated case-by-case</t>
  </si>
  <si>
    <t>Access to Coastal research vessels (M/B Phoenicia 10m; Oceanographic Boat "Vettoria" 15m) in the Gulf of Napoli; on request collection of planktonic organisms through screenings or samples from Niskin bottles, of benthic organisms with dredging, coring, grab or scuba diving and acquisition of images and films in immersion are available.</t>
  </si>
  <si>
    <t>Availability of two boats: one pilot boat for small operatioins, and one vessel complete with crew and equipment for sampling activities, Collection of planktonic organisms through screenings or samples from Niskin bottles. Collection of benthic organisms with dredging, coring, grab or scuba diving. Acquisition of images and films in immersion is available on request.</t>
  </si>
  <si>
    <t>Medical treatment of wounded sea turtles (Caretta caretta); veterinary research, post-mortem examination, nesting at the Marine Turtles Research Centre Portici</t>
  </si>
  <si>
    <t>The turtles are maintained in a semi-closed loop seawater circulation system. The service depends on animals availability.</t>
  </si>
  <si>
    <t>Access to the screening platform for the bioactive compounds isolation (antimicrobials, anticancers, antibiofilms)</t>
  </si>
  <si>
    <t>Contextual isolation and cultivation of algal strains for screening and basic molecular biology equipments are available on request</t>
  </si>
  <si>
    <t>Imaging</t>
  </si>
  <si>
    <t>Assistance and sample preparation for optical, electron microscopy, live cell imaging, confocal microscopy, 3D and 4D microscopy, TEM and SEM. Ad hoc protocol development and data analyses and interpretation is available on request</t>
  </si>
  <si>
    <t>The Molecular Sequencing &amp; Analysis Center (SMAC) offers services, training and consulting in the field of Molecular Biology, from the execution of complex procedures to specific consultancy and development services and on-demand protocols.</t>
  </si>
  <si>
    <t>The Core facility for Environmental Monitoring &amp; Analysis (MAA) offers support for sampling and laboratory activities aimed at determining the main environmental variables</t>
  </si>
  <si>
    <t>Continuous acquisition, processing and analysis of the main hydrographic variables (temperature, salinity, dissolved oxygen, fluorescence, transmittance, PAR, SPAR and pH) along the water column. Measurements of surface current and along the water column; contingent collection and selection on request of target marine organisms. Ad hoc protocol development and data analyses and interpretation is available on request.</t>
  </si>
  <si>
    <t>Access to mass spectrometry facilitiy for early-stage molecule dereplication</t>
  </si>
  <si>
    <t>Marine model organisms</t>
  </si>
  <si>
    <t>UNICA</t>
  </si>
  <si>
    <t>Pilot-scale production of sea urchin, sea cucumber (embryo, larvae, juveniles, adult)</t>
  </si>
  <si>
    <t>Collection of broodstock, fertilization, Life Support System for Sea urchin and sea cucumbers embryos/larvae, study of resistance and plasticity towards toxicity compounds</t>
  </si>
  <si>
    <t>Fish Analytical Laboratory</t>
  </si>
  <si>
    <t>Fish otolith examination and analysis; morphometry, shape analysis, external texture organization, fish age determination, fish stock assessment</t>
  </si>
  <si>
    <t>Pilot Hatchery for sea urchin and sea cucumber; Life Support System for juveniles/adults sea urchins and sea cucumber; Fish Housing Facility</t>
  </si>
  <si>
    <t>Biotechnologies (hatchery tanks) and Expertise in rearing larval stage of sea urchins and sea cucumbers (Paracentrotus lividus, Holothuria tubulosa), including food-web production. Fish aquaria comply all the requirements of Legislative Decree 26/2014 on animals welfare</t>
  </si>
  <si>
    <t>PIT Tagging technologies</t>
  </si>
  <si>
    <t>Tagging equipment (BIOMARKand expertise for tagging wild and reared aquatic organisms, fish and invertebrates (PIT tags, tag implanters, underwater readers, pass-by aquatic antennas, tissue sampling unit, software &amp; drivers)</t>
  </si>
  <si>
    <t>Environmental Scanning Electron Microscopy (ESEM)</t>
  </si>
  <si>
    <t>Electron microscopies are used for material imaging, elemental composition analysis and for material characterization, down to the nanometer scale.</t>
  </si>
  <si>
    <t>UNIFE</t>
  </si>
  <si>
    <t>Oysters, mussels, clams, fish, macrobenthos and macroalgae from Po Delta lagoons</t>
  </si>
  <si>
    <t>Access to rearing facility of bivalves of commercial interest (clams, oysters, mussels) for aquaculture application and studies (physiological responses, SFG, pollutants accumulation).</t>
  </si>
  <si>
    <t>Contextual microscopy use (Scanning electron microscopy ZEISS EVO40, Transmission electron microscopy Hitachi H800, Zeiss EM 900, Atomic force microscopy Nanoscope III) is available on request. The aquaculture farm uses sensor network integrated with mobile application.</t>
  </si>
  <si>
    <t>Sampling equipment</t>
  </si>
  <si>
    <t>Contextual sorting, identification and isolation of phytoplankton, zooplankton, benthos from natural samples is available on request. Contextual microscopy use (Scanning electron microscopy ZEISS EVO40, Transmission electron microscopy Hitachi H800, Zeiss EM 900, Atomic force microscopy Nanoscope III) is available on request.</t>
  </si>
  <si>
    <t>UNIME</t>
  </si>
  <si>
    <t>Sicilian Zebrafish Resource Center (SZRC), research facility for zebrafish production and use as model organism in preclinical research.</t>
  </si>
  <si>
    <t>Aquaculture Teaching Facility, research and teaching facility for teleosts reproduction</t>
  </si>
  <si>
    <t>Access to LabsTREAM - TAXOMAR facility for taxonomic identification of marine macrozoobenthic organisms, teleost (otolith analysis facility with Zeiss EVO-10 EM, including external texture organization analysis), and elasmobranchs</t>
  </si>
  <si>
    <t>Access to ZEBRALAB facility for IN VIVO Studies on teleosts</t>
  </si>
  <si>
    <t>Available services in the lab include: Histology (Tricromic, PAS, Ziehl neelsen, Anaomo-histopathology exam and diagnosis), Molecular Biology (DNA/RNA extraction from tissues, Reverse transcription, Amplification and sequencing, Electrophoretic run, qPCR) and Imaging (Stereo microscope observation, optical microscope observation, fluorescent microscope observation)</t>
  </si>
  <si>
    <t>Access to PHARMALAB and ZEBRALAB screening platforms. PHARMALAB: screening of immunomodulatory, neuroprotective, analgesic, anti-fungal, anti-inflammatory, anticancer, antimicrobial, and antimalarial properties of newfound molecules on cell lines (in vitro) or aquatic animals (in vivo). ZEBRALAB: screening platform for zebrafish embryo toxicity test assays</t>
  </si>
  <si>
    <t>PHARMALAB: aquatic organisms are screened for immunomodulator, neuroprotective, analgesic, anti-fungal, anti-inflammatory, anticancer, antimicrobial, and antimalarial properties. ZEBRALAB: research facility equipped with aquaria and tanks for aquatic animals experiments and production. Zebrafish production for research and In vivo studies on aquatic models.</t>
  </si>
  <si>
    <t>Access to LabsTREAM - TAXOMAR facility for teleost otolith analysis facility with Zeiss EVO-10 EM, including external texture organization analysis</t>
  </si>
  <si>
    <t>Fish otolith examination and analysis for ecological and zoological research: morphometry, shape analysis, external texture organization, fish age determination, fish stock assessment. SEM and micro-FT-IR are used for fish otolith analyses.</t>
  </si>
  <si>
    <t>Genomic identification of aquatic organisms (Teleosts and Elasmobranchs) and gene based analyses (DNA extraction,sequencing and bioinformatic, Gene expression studies). Environmental DNA analyses</t>
  </si>
  <si>
    <t>Microplastic extraction, isolation and identification from biotic matrices is performed. SEM and microFT-IT (Lumos II) are used for microparticle analyses and accurate identification of polymers in ATR, trasmission and reflection spectroscopy. Lipid profile are studied through GC-FID/MS, LC-MS methods and direct-MS approaches. The lipid profile will represent a fingerprint of each species, useful against fraudolent activities (mislabeling, etc.) and could be correlated with pathophisiological conditions (food security and food safety implications).</t>
  </si>
  <si>
    <t>UNIMIB-MaRHE</t>
  </si>
  <si>
    <t>Collection of benthic, nektonic organisms and corals with supplementary services on request.</t>
  </si>
  <si>
    <t>Access to island environments in the Maldives renting the Maldivian Dhoni Boat for Day Trip ( capability of 50 people).</t>
  </si>
  <si>
    <t>Access to different island environments in the Maldives, Faafu atoll (uninhabited/local/resort islands), coral reef habitats and associated reef habitats (seagrass meadows), Dhoni boat (75 feet). Basic sampling equipment is available onboard. Basic molecular characterization of collected organisms is available in the center (Environmental DNA Analysis).</t>
  </si>
  <si>
    <t>Scientific diving</t>
  </si>
  <si>
    <t>Access to MaHRE Center Scientific Diving Center, with the possibility to rent diving equipment or participate to scuba dive sessions from Dhoni Boat or from the coast</t>
  </si>
  <si>
    <t>Access to accommodation full board in shared or private room (accommodation, meal, bed linen, towels) at the MaHRE Center</t>
  </si>
  <si>
    <t>7 quad rooms for students (28 beds), 4 squad rooms for teachers (10 beds), including access to all Facilities (classroom, library, laboratory) except Diving</t>
  </si>
  <si>
    <t>UNITO</t>
  </si>
  <si>
    <t>Access to fungal strains of the Mycotheca Universitatis Taurinenesis (MUT)</t>
  </si>
  <si>
    <t>Fungal culture collection containing more than 2000 strains of marine fungi and related metadata (mainly from the Mediterrean Sea). MUT will provide access to fungal strains, lab. facilities and staff expertise for the isolation, identification and charachterization of marine fungi. Expertise to describe marine fungal communities via metabarcoding and/or metagenomic analyses are available. On request, whole Genome sequencing of marine fungi can also be performed.</t>
  </si>
  <si>
    <t>Collection and characterization of mesozooplanktonic communities</t>
  </si>
  <si>
    <t>Collection and analysis of neritic and pelagic (holo-and mero-) mesozooplanktonic communities, macrozoobenthos (molluscs, polychaetes and crustaceans), Icthyoplankton</t>
  </si>
  <si>
    <t>Access to taxonomy facilities of UNITO: the MUT fungal taxonomy lab for Isolation, identification and characterization through visual (morphology) and DNA barcoding of marine taxa; the zooplankton taxonomy lab for isolation, identification and characterization (taxa and species level) of Holoplankton, Meroplankton and Ichtyoplankton.</t>
  </si>
  <si>
    <t>Morpholgical identification and DNA barcoding can be performed on marine fungi/fungal communities , mesozooplankton (copepods and all other holoplanktonic groups), Icthyoplankton (larval stages), macrozoobenthos (molluscs, polychaetes and crustaceans). Training and design of ad hoc protocols is available on request.</t>
  </si>
  <si>
    <t>Big Data Analysis &amp; Server testing. Development of software and toolboxes for bioacoustics and ethological studies</t>
  </si>
  <si>
    <t>Typical applications include management of contaminated sediments, remediation of polluted areas, impact of oil and gas exploitation/production.</t>
  </si>
  <si>
    <t>Mesocosms</t>
  </si>
  <si>
    <t>Marine seagrass systems</t>
  </si>
  <si>
    <t>Study of the main descriptors and micromolluscs community associated</t>
  </si>
  <si>
    <t>Molecular Biology and Omics</t>
  </si>
  <si>
    <t>Access to fungal molecular biology lab for metabarcoding, metagenomic and WGS of marine taxa</t>
  </si>
  <si>
    <t>Access to acoustic sensors and Autonomous Recording Units (ARUs) for the Passive Acoustic Monitoring (PAM) of the marine wildlife</t>
  </si>
  <si>
    <t>Shallow waters (up to -300m) and deep waters (up to -1000m) Autonomous Recording Units (ARUs) for the collection of marine soundscape recordings and Passive Acoustic Monitoring of marine wildlife. ARUs are equipped with release transponders, hi-capacity SD cards and lithium batteries for long-lasting deployments. UniTO will provide support and training in identifying the areas suitable for deploying the sensors, the mooring of the devices and the analysis of the acoustic data. Additionally, remote access and analysis of extensive marine soundscape recordings is available.</t>
  </si>
  <si>
    <t>Access to facility for fungal fermentation and profiling of their bioactive compounds</t>
  </si>
  <si>
    <t>At MUT fungal fermentation in both submerged or solid state conditions can be performed for the further chemical characterization of the biactive molecules produced by marine fungi.</t>
  </si>
  <si>
    <t>UNITUS</t>
  </si>
  <si>
    <t>Marine bacteria and fungi culture collection</t>
  </si>
  <si>
    <t>Sampling, communities isolation, identification and characterization throught morphological, physiological and molecular approaches; production of microbial biomass and inocula</t>
  </si>
  <si>
    <t>Access to organisms provision from insular ecosystems (Pontine Islands, Tuscan Archipelago) or costal ecosystems (Latium from San Felice Circeo to Argentario), including plankton sampling, sediment sampling at different dephts and supply of marine model organisms</t>
  </si>
  <si>
    <t>Assisted sampling and taxonomic identification of: nektonic organisms (fish, crustaceans, cephalopods); fish parasites (endo- and ecto-parasites); marine bacteria and fungi. Two boats fully equipped for scientific sampling (Calafuria 11m, Calasetta 7 m), one tecnician with navigation license and sampling expertise. Two tecnicians with Certified Advanced Underwater Scientific Divers (AIOSS - AESD). CISMAR is recognised as a Scientific Institute by MASAF for fishery activities. Sampling from northern Latium coasts, including 5 SAC Natura 2000 with P. oceanica beds</t>
  </si>
  <si>
    <t>Experimental aquaculture, including crustacean hatchery</t>
  </si>
  <si>
    <t>Rearing and manipulation of fish, crustaceans and molluscs. Outdoor facilities: 5 raceway tanks, marine water. Indoor facilities: 1) RAS (Recirculating Aquaculture System) 13m3 overall: 6 squared tanks 1000 l , 5 up-wellers tanks 200 l, 2 collector tanks 3000 l, Foam-fractionator for DOM (Dissolved Organic Matter), MBBR unit (moving bed biofilter reactor); 2) RAS 9 m3 overall: 2 tanks 4000 l, with sand filters and MBBR unit; 3) 12 tanks squared shaped 1000 l. Hatchery facilities: AquaHive (up to 11.000 crustacean larvae) specifically designed for lobsters; 3 sets for hatchery and growth of brine shrimps or rotifers. Phyto- and Zooplankton production bioreactors.</t>
  </si>
  <si>
    <t>Laboratory of ethological studies</t>
  </si>
  <si>
    <t>2 oval tanks m 6x2x1 with counter current swimming system for ethological studies; 12 tanks 60 l each, fully equipped, may work as sigle or fractioned units (1, 3, 6, 12). Ethovision system to study individual behaviour and social interactions in marine animals (crustaceans, cephalopods, fish)</t>
  </si>
  <si>
    <t>Lab of molecular ecology, molecular parasitology and e-DNA</t>
  </si>
  <si>
    <t>Dissection laboratory for sampling tissues and parasites fully equipped including stereomicroscopes. Molecular ecology lab fully furnished for DNA estraction and PCR amplification from metazoans and microorganisms. Genomic libraries. e-DNA sampling from seawater; e-DNA characterization</t>
  </si>
  <si>
    <t>Oceanography Laboratory</t>
  </si>
  <si>
    <t>High coastal resolution models, oceanographic modelling, remote sensing data analysis, GIS Biocoenosis and Ecosystem Services Maps</t>
  </si>
  <si>
    <t>UNIVPM-DISVA</t>
  </si>
  <si>
    <t>Access to advanced bioinformatic laboratory and data mining facility and risk assessment models for the elaboration of large datasets of chemical and biological data</t>
  </si>
  <si>
    <t>Temporal series of oceanographic data and small-sized pelagic fish from the Strait of Sicily are available</t>
  </si>
  <si>
    <t>Access to research vessels in the Ionian Sea ecosystem. Vessels can be equipped with sensors, sampling equipment and ROV, and the support of UNIVPM scuba divers can be asked on request.</t>
  </si>
  <si>
    <t>Technical and scientific staff for the research vessel and sampling activities; sampling devices: CTD, box corer and different sampling nets; water and sediment samples collection and storage</t>
  </si>
  <si>
    <t>Access to aquarium facilities for aquatic organisms maintenance and experiments under controlled conditions and multiple stressors on target species. Specialized aquaria for Mediterranean, Tropical (including sea anemones, stony corals, and soft corals) and Polar marine species are available.</t>
  </si>
  <si>
    <t>Access to Ecotoxicological Assays platform, including analyses of the main cellular biomarkers (i.e. biotransformation, detoxification, oxyradical metabolism and oxidative stress, peroxisomal proliferation, impairment and toxicity to cellular membranes, lysosomes, other organelles and DNA) and ecotoxicological bioassays (bacterial bioluminescence, algal growth, embryotoxicity, mortality)</t>
  </si>
  <si>
    <t>Effects underlying metabolization, detoxification and toxicity of chemical pollutants can be analysed at the molecular, biochemical, cellular and organism levels</t>
  </si>
  <si>
    <t>Access to the Molecular Biology Core Facility for the production of recombinant proteins from marine organisms, including protein structure resolution and modelling.</t>
  </si>
  <si>
    <t>Molecular Biology Core Facility (https://www.disva.univpm.it/content/masbic). Applications include the purification of proteins and membrane proteins from marine organisms; studies of enzyme functions and integration of molecular, biochemical, cellular and organismal approaches; crystallization and structure determination; transcriptome and gene expression analyses</t>
  </si>
  <si>
    <t>Environmental chemistry service allowing to determine all the classes of chemical pollutants including traditional (metals, PAHs, halogenated hydrocarbons) and emeging pollutants (i.e. pharmaceuticals, microplastics, flame retardants)</t>
  </si>
  <si>
    <t>Ecosystem access</t>
  </si>
  <si>
    <t>Biological resources</t>
  </si>
  <si>
    <t>Experimental facilities</t>
  </si>
  <si>
    <t>Technology platforms</t>
  </si>
  <si>
    <t>E-services</t>
  </si>
  <si>
    <t>Supporting facilities</t>
  </si>
  <si>
    <t>description of the service</t>
  </si>
  <si>
    <t>available</t>
  </si>
  <si>
    <t>Scuba diving; sediment, water and oganisms sampling; Plankton net ; grabs, box corer; rosette</t>
  </si>
  <si>
    <t>Model species; fishes; invertebrates; algae, phanerogams</t>
  </si>
  <si>
    <t>Microplastic identification, microplastic analysis, microparticle analysis, ATR, trasmission spectoscopy, reflection spectroscopy</t>
  </si>
  <si>
    <t>NOT COSTED</t>
  </si>
  <si>
    <t>Categoria Servizi</t>
  </si>
  <si>
    <t>Sottocategoria Servizi</t>
  </si>
  <si>
    <t>Operatore</t>
  </si>
  <si>
    <t>Descrizione</t>
  </si>
  <si>
    <t>Tipo di Accesso</t>
  </si>
  <si>
    <t>Status</t>
  </si>
  <si>
    <t>Informazioni Aggiuntive</t>
  </si>
  <si>
    <t>keywords</t>
  </si>
  <si>
    <t>Nome Piattaforma</t>
  </si>
  <si>
    <t>Taxonomic identification of marine macrobenthic organims, teleosts and elasmobranchs.</t>
  </si>
  <si>
    <t>marine macrobenthos, teleosts, elasmobranchs, Fish otolith, morphometry,</t>
  </si>
  <si>
    <t>LabStREAM - TAXOMAR</t>
  </si>
  <si>
    <t>marine pharmacology, immunomodulator, neuroprotective, analgesic, anti-fungal, anti-inflammatory, anticancer, antimicrobial, antimalarial</t>
  </si>
  <si>
    <t>PHARMALAB, LabStREAM - ZEBRALAB</t>
  </si>
  <si>
    <t>Responsabile PHARMALAB: Prof. S Cuzzocrea, Responsabile ZEBRALAB: Prof. Spanò-Prof. Marino</t>
  </si>
  <si>
    <t>Access to LabsTREAM - GAO facility for genomic identification of aquatic organisms</t>
  </si>
  <si>
    <t>LabStREAM - GEO</t>
  </si>
  <si>
    <t>Access to UNIME Structural analysis facilities: LabsTREAM - LAM facility for the extraction (water, sediment and biological matrices) and analysis of microplastics; MeIT - METALS facility for determination of the aminoacid profile and biogenic amines, essential and toxic metals (heavy metals) by ICP-MS and other chromatographic techniques; Access to MeIT - LIPIDS facility for the investigation of the lipid profile of extracts of marine species</t>
  </si>
  <si>
    <t>Microplastic identification, microplastic analysis, microparticle analysis, ATR, trasmission spectoscopry, reflection spectroscopy, lipid profile, GC-FID/MS, LC-MS, direct-MS, food security, food safety</t>
  </si>
  <si>
    <t>LabStREAM - LAM, MeIT - METALS, MeIT - LIPIDS</t>
  </si>
  <si>
    <t>Responsabile: Prof. P. Dugo-Prof. L. Mondello</t>
  </si>
  <si>
    <t>LabStREAM - ZEBRALAB</t>
  </si>
  <si>
    <t>Responsabile: Prof. Spanò-Prof. Marino</t>
  </si>
  <si>
    <t>not available</t>
  </si>
  <si>
    <t>Scuba diving; snorkelling; vessel; coastal sampling; boat Plankton; water column; seabed; box corer; rosette</t>
  </si>
  <si>
    <t>Oceanographic parameters; water column; data; LTER; time series</t>
  </si>
  <si>
    <t>Instrumentation test; wired station; Underwater acoustics; sound recording; Acoustic survey, data, data analyses; sound; custome-build software</t>
  </si>
  <si>
    <t>Model species; fishes; sea urchins; brackish; colection</t>
  </si>
  <si>
    <t>Swimming tunnels, choice box, shuffle box, T-maze; ecophysiology; behaviour; fish; invertebrates, wet lab, running seawater; controlled temperature</t>
  </si>
  <si>
    <t>Maintenance of microbes from polar and cryoenvironments</t>
  </si>
  <si>
    <t>MICR(Y)O</t>
  </si>
  <si>
    <t>Fish and other macrozoobenthos can be collected in situ, including Polychaeta, Bivalvia, Gastropoda,Isopoda, Amphipoda. Lagoon macrofauna also includes Mugil cephalus, Sparus aurata, Atherina boyeri, Aphanius fasciatus, Anguilla anguilla, macroalgae. A box-corer is used for macrozoobenthos sampling. Macrofauna sampling is mainly based on the use of “paranza”, a traditional fishing system made up of net walls fixed on stakes and retaining devices (fyke-nets). Contextual taxonomic identification is available.</t>
  </si>
  <si>
    <t>Vertebrata, Crustacea, Bivalvia, traditional fishing, model</t>
  </si>
  <si>
    <t>Atmspheric data, water data, inshore station, lagoon</t>
  </si>
  <si>
    <t>lagoon; field sampling; coastal sampling; boat; diving, Sampling equipment, Plankton; water column; seabed; box corer, lagoon; brackish; colection; taxonomy, identification, biological communities, nematodes, macrobenthos</t>
  </si>
  <si>
    <t>nutrients, chlorophyll a, Dissolved Organic Carbon</t>
  </si>
  <si>
    <t>bony fishes, chephalopods, crustaceans, elasmobranchs</t>
  </si>
  <si>
    <t>Ciona, mussels, oysters, anemones, polychaetes, macroalgae</t>
  </si>
  <si>
    <t>One 5 meters and one 10 meters length small vessels for access and sampling Venice lagoon, with possibilities of accessing LTER sites (5 lagoons + 1 offshore LTER sites, urban channels, saltmarshes, seagrass beds, Venice industrial and harbour areas), north Adriatic coastal sites and tegnue coralligenous banks (Chioggia). Access provided to laboratories for collected sample handling, observation under microscopes (stereo, optical, direct inverted EF microscope) of plankton, benthos, microbes, basic molecular facilities (electrophoresys, PCRs), chemical and microbiological hoods, refrigerated centrifuge, autoclave, etc</t>
  </si>
  <si>
    <t>Venice lagoon, North Adriatic coastal site, plankton, corer, sediments, manta net, dissection, plankton, benthos, microbes, PCR, molecular biology</t>
  </si>
  <si>
    <t>MSP, softwares, storage, data, custome made</t>
  </si>
  <si>
    <t>Genotoxicity, biochemistry, cell, histochemistry, physiology</t>
  </si>
  <si>
    <t>experiment, videorecording, oceanographic tower, Aqua Alta, Venice</t>
  </si>
  <si>
    <t>accommodation, bed</t>
  </si>
  <si>
    <t>Large georeferenced dataset on animals found in subterranean waters. Data analysis tools and software and support on data analysis on quantitative approaches in evolutionary ecology is available</t>
  </si>
  <si>
    <t>meiofauna, groundwater, subterranean water, caves, anchialine systems, R, generalised linear models, DNA taxonomy</t>
  </si>
  <si>
    <t>Phytoplankton, phytobenthos, zooplankton, meiofauna, dry herbarium</t>
  </si>
  <si>
    <t>Marine sampling, Ionian Sea, Plankton, benthos, sampling, Divers, scuba gear</t>
  </si>
  <si>
    <t>IRM</t>
  </si>
  <si>
    <t>environmental monitoring, certified marine organisms, integrated taxonomy, vouchers, barcoding</t>
  </si>
  <si>
    <t>MOTax</t>
  </si>
  <si>
    <t>vessel, CO2, monitoring, CTD, multi-parameter probe, ADCP, Scuba diving; CO2; vessel; coastal sampling; boat</t>
  </si>
  <si>
    <t>Database design, Software Development; Genomic browser, Blast Server setup, LTER</t>
  </si>
  <si>
    <t>Caretta caretta, blood tissue; loggerhead turtles; vertebrates; marine reptile</t>
  </si>
  <si>
    <t>Turtle Point</t>
  </si>
  <si>
    <t>BlueBioprospecting</t>
  </si>
  <si>
    <t>The Advanced Microscopy Centre (AMC) provides the necessary skills to the application of optical microscopy and conventional fluorescence techniques (epifluorescence or confocal).</t>
  </si>
  <si>
    <t>Transmission Electron Microscopy, Scanning Electron Microscopy, Wide-field and Confocal Microscopy</t>
  </si>
  <si>
    <t>AMC</t>
  </si>
  <si>
    <t>The Unit has developed a sequencing service which includes both the classic Sanger method that the Ion deep sequencing technology GeneStudio S5, a service for the Real Time PCR and a service for the droplet digital PCR that will be improved by the purchase of the sonicator "Covaris" for Chromatin immunoprecipitation experiments". The unit is also equipped with aCSAM2 automated liquid handler for low to mid throughput processes the unit also integrates the cytometry service with the setting up of a new laboratory equipped with BD equipment, the sorter "Influx" and 37 the "FACS Verse" cytometer extending the portfolio of offered technologies to users.Ad hoc protocol development and data analyses and interpretation is available on request.</t>
  </si>
  <si>
    <t>Sanger sequencing, NGS, microsatellite, SNPs, Real Time PCR</t>
  </si>
  <si>
    <t>CSAM</t>
  </si>
  <si>
    <t>vessel, CO2, monitoring, CTD, multi-parameter probe, ADCP</t>
  </si>
  <si>
    <t>MAA</t>
  </si>
  <si>
    <t>BAC</t>
  </si>
  <si>
    <t>aquaculture, fish welfare, fish food quality control</t>
  </si>
  <si>
    <t>. Benthos, fish, fauna, Adriatic, model organisms, sandy habitat, rocky habitat, subtidal soft bottom, coastal dunes</t>
  </si>
  <si>
    <t>. ecotoxicology; endocrine disrupting chemicals; biosensors; ELISA; Cell</t>
  </si>
  <si>
    <t>biosensors; GIS; cartography, spatial analysis; georeferenced; temporal analyses</t>
  </si>
  <si>
    <t>guesthouse; room; accomodation; bed; sweet dreams</t>
  </si>
  <si>
    <t>Chioggia Marine Station</t>
  </si>
  <si>
    <t>Plankton; benthos; fish, live organisms; shipment; Ciona; Paracentrotus; cephalopods; seasquirt; sea urchin</t>
  </si>
  <si>
    <t>Provision of boat and gears for sampling of different organisms from water column to the bottom, gears for underwater observations and sampling. Available sampling equipment is: Underwater PAM/IIR Walz, underwater cameras and digital camcorder, diving equipment, DGPS (Differential GPS), rangefinder, box corer, van Veen grab, manual corers, CTD data loggers, pH-meters, refractometers, conductivity meters, oxymeters), underwater drone, portable single-beam and side scan sonarCollected samples can be manipulated in fully equipped Benthic Lab (coulter counter, multisizer, CHNS / O, spectrophotometer, microscopes, image analysers, ovens, muffle, sieves column, filtering systems, balances). Available microscopes for sample observation are: LEICA DMLB Light Microscope, LEICA MZ95 Dissecting microscope, LEICA DFC420 Videocamera connected to microscope and dissecting microscope. Contextual basic molecular biology services (Thermal cyclers, microcentrifuge,spectrophotometric system for DNA quantification, DNA electrophoresis system) can also be provided.</t>
  </si>
  <si>
    <t>MOSE, Venice lagoon, lagoon ecosystem. field sampling; SCUBA; boat; lagoon; coastal sampling; Plankton; benthic lab</t>
  </si>
  <si>
    <t>Dataset, water parameters, landing. CPUE; landings; alien species; data, LTER</t>
  </si>
  <si>
    <t>phytoplankton sampling; soft bottom; SCUBA; vessel</t>
  </si>
  <si>
    <t>The laboratory, unique in Italy for its dimensions, occupies a floor area of about 12,500 sq m., most of which is used for the large tanks, as described below, in which studies on three-dimensional and two-dimensional physical models of beach and port protection structures are performed. The lab has various experimental and measurement instrumentations as well as of support workshops, water treatment systems, computing center , classroom and computer rooms for students. Several field instruments (for the measure of some meteomarine parameters), permanently installed at the Taranto's Mar Grande and Mar Piccolo have to be considered as an integral part of the Laboratory. Further informations can be found in the dedicated datasheet: https://docs.google.com/spreadsheets/d/1b7T0JhyAQDEpk09wunLjKHO3SLFM009y/edit?usp=share_link&amp;ouid=116656549857348920315&amp;rtpof=true&amp;sd=true</t>
  </si>
  <si>
    <t>Coastal Engineering Laboratory (LIC)</t>
  </si>
  <si>
    <t>Available equipment include: multiple tanks and channels where to set-up the experiment, a jet thermal-hydraulic system, an apparatus for the measurement of sediment fall velocity and for anaysis of sediment division, sediment concentration probes, 3D and 2D wave makers, resistive probes for waves detection, ultrasound level sensors, Acustic Doppler Velocimeters, Stream-flow rotor velocity meter, pressure transducers, Vessel Mounted - Acoustic Doppler Profiler, vessel mounted - acoustic doppler profiler, GPS stations, Laser Doppler Anemometers, drones and laser scanners. Further informations can be found in the dedicated datasheet: https://docs.google.com/spreadsheets/d/1b7T0JhyAQDEpk09wunLjKHO3SLFM009y/edit?usp=share_link&amp;ouid=116656549857348920315&amp;rtpof=true&amp;sd=true</t>
  </si>
  <si>
    <t>14 m Research vessel equipped with ROV (0-120 m depth operational range), onboard SCUBA tank refill station, underwater SCUBA scooters, multi-parameter probe Hydrolab HL7 SN; Air and NITROX SCUBA diving facilities. Rubber boats for coastal sampling campaigns.</t>
  </si>
  <si>
    <t>.</t>
  </si>
  <si>
    <t>Access to aquaria (50 L) and tanks (10 L) available for manipulative experiments on coralline algae and calcifying marine invertebrates/ecosystems</t>
  </si>
  <si>
    <t>Access to sedimentology facilities and support for and benchtop instrumentation for granulometric analyses</t>
  </si>
  <si>
    <t>Access to ecotoxicology platform for bioassay with marine microalgae, marine crustracea (chronic and actute), echinoderms (semichronic and acute) and bioluminescent bacteria on water and sediment matrices</t>
  </si>
  <si>
    <t>mass spectrometry, infrared spectrometry, Maldi biotyper, IR Biotyper. Environment, passive samples, pollutants</t>
  </si>
  <si>
    <t>End-point PCR, Real-time PCR, Sanger Sequencing, Next Generation Sequencing(NGS-WGS), Microsatellite, Molecular Biology</t>
  </si>
  <si>
    <t>Necropsy-post mortem analysis, diagnostic, mammals, turtles</t>
  </si>
  <si>
    <t>microalgae, diatoms, dinoflagellates, culture, collection</t>
  </si>
  <si>
    <t>CoSMi</t>
  </si>
  <si>
    <t>microalgae, ciliates, sampling, isolation, collection</t>
  </si>
  <si>
    <t>Access to the Gulf of Trieste, including station C1-LTER, with 10 m research vessel MEDUSA, equipped for manual seawater sampling (Niskin bottles, phytoplankton nets, CTD)</t>
  </si>
  <si>
    <t>vessel, sampling, coastal, Gulf of trieste, Adriatic</t>
  </si>
  <si>
    <t>MEDUSA</t>
  </si>
  <si>
    <t>fungal biobank, marine fungi, fungal fermentation, mycobiota, bioactive molecules</t>
  </si>
  <si>
    <t>MUT</t>
  </si>
  <si>
    <t>bioacoustics, ecoacoustics, soundscape, Passive Acosutic Monitoring (PMA), Autonomous Recording Units (ARUs)</t>
  </si>
  <si>
    <t>Mesozooplankton, copepods, Decapoda larval stages, molluscs, polychaetes, crustaceans, ichtyoplankton larvae</t>
  </si>
  <si>
    <t>Taxonomy, Morphological identification, DNA Barcoding, Fungi, Fungal communities, Mesozooplankton, copepods, Decapoda larval stages, molluscs, polychaetes, crustaceans, ichtyoplankton larvae, Antarctica macrozoobenthos assemblages morphological identification</t>
  </si>
  <si>
    <t>Lepidochronological analysis, Posidonia oceanica</t>
  </si>
  <si>
    <t>artificial intelligence, server testing, big data analysisi, cluster analysis</t>
  </si>
  <si>
    <t>bioassays, fungal fermentation, bioactive molecules, fungi, biochemical characterization</t>
  </si>
  <si>
    <t>Renting of different materials (Wet Suit, Regulator, BCD, Mask + Snorkel, Fins, diving tank), Scuba dive from Dhoni Boat</t>
  </si>
  <si>
    <t>Access to equipment for environmental sampling in the Po Delta (Underwater drone, manta trawl, van veen grab, corers, water samplers).</t>
  </si>
  <si>
    <t>Sampling equipment, Po Delta, Underwater drone, manta trawl, van veen grab, corers, water samplers, hytoplankton, zooplankton, benthos</t>
  </si>
  <si>
    <t>bivalve rearing, aquaculture, clams, oysters, mussels, physiological responses, SFG, pollutants accumulation, microscopy, aquaculture digitalization, sensor network</t>
  </si>
  <si>
    <t>CISMAR</t>
  </si>
  <si>
    <t>LOSEM</t>
  </si>
  <si>
    <t>sea urchin, sea cucumber, broodstock collection, sea urchin embryos, sea cucumber larvae</t>
  </si>
  <si>
    <t>sea urchin, hatchery tanks, sea cucumbers, food-web production</t>
  </si>
  <si>
    <t>https://unica.it/unica/en/cesar.page</t>
  </si>
  <si>
    <t>PIT Tagging, BIOMARK, wild animals tagging, aquatic organisms, PIT tags, tag implanters, underwater readers, pass-by aquatic antennas, tissue sampling unit, software &amp; drivers</t>
  </si>
  <si>
    <t>otolith, morphometry, shape, external texture organization, fish age determination, fish stock assessment</t>
  </si>
  <si>
    <t>Bacteria, Archaea, meiofauna and macrofauna, phytoplankton and zooplankton</t>
  </si>
  <si>
    <t>Overall ca. 200 mesocosms and aquaria for a total volume of 25.000L subdivided for a) Mediterranean species, b) tropical species (including sea anemones, stony corals and soft corals); Target species for farming and maintenance: phytoplankton and zooplankton (Rotifers, Artemia salina, harpacticoid and calanoid copepods), Zebrafish; scientific staff for the reproduction and maintenance of species, set-up of manipulation experiments and general monitoring/functioning of the facility. Dedicated mesocosms and aquaria for polar species; scientific staff for the reproduction and maintenance of species, set-up of manipulation experiments under different climate scenarios and general monitoring/functioning of the facility</t>
  </si>
  <si>
    <t>Phytoplankton and zooplankton (Rotifers, Artemia salina, harpacticoid and calanoid copepods), Zebrafish</t>
  </si>
  <si>
    <t>High-throughput protein production, enzyme functions, cloning system and robotics, crystallography</t>
  </si>
  <si>
    <t>Ma.S.Bi.C.</t>
  </si>
  <si>
    <t>Access to Mass Spectrometry facility including: Liquid Chromatography-MS, Gas Chromatography-MS, ICP-MS, Atomic Absorption Spectrophotometry, HPLC with fluorescence and diode array detectors.</t>
  </si>
  <si>
    <t>Environmental chemistry, Liquid Chromatography-MS, Gas Chromatography-MS, ICP-MS, Atomic absorption. Metals, PAHs, Pesticides, microplastics, fish, invertebrates, sediments</t>
  </si>
  <si>
    <t>Biomarkers, Bioassays, ecotoxicology, fish, invertebrates, sediments</t>
  </si>
  <si>
    <t>Weight of Evidence WOE, risk assessment</t>
  </si>
  <si>
    <t>Research vessel "Astrea", 26 m LOA can be operated at the Mediterranean scale.</t>
  </si>
  <si>
    <t>Operator</t>
  </si>
  <si>
    <t>acronym</t>
  </si>
  <si>
    <t>institute/site</t>
  </si>
  <si>
    <t>Access Officer</t>
  </si>
  <si>
    <t>Stazione Zoologica Anton Dohrn</t>
  </si>
  <si>
    <t>SZN-IMC</t>
  </si>
  <si>
    <t>Ischia Marine Centre</t>
  </si>
  <si>
    <t>SZN-MTRC</t>
  </si>
  <si>
    <t>Marine Turtles Research Centre</t>
  </si>
  <si>
    <t>SZN-SMC</t>
  </si>
  <si>
    <t>Sicily Marine Centre</t>
  </si>
  <si>
    <t>SZN-FMC</t>
  </si>
  <si>
    <t>Fano Marine Centre</t>
  </si>
  <si>
    <t>SZN-CMC</t>
  </si>
  <si>
    <t>Calabria Marine Centre</t>
  </si>
  <si>
    <t>SZN-GMC</t>
  </si>
  <si>
    <t>Genova Marine Centre</t>
  </si>
  <si>
    <t>CONISMA</t>
  </si>
  <si>
    <t>CONISMA-Chioggia</t>
  </si>
  <si>
    <t>Università di Padova - Hydrobiological Station "U. D'Ancona"</t>
  </si>
  <si>
    <t>CONISMA-Camerino</t>
  </si>
  <si>
    <t>Università di Camerino - URDIS</t>
  </si>
  <si>
    <t>CONISMA - Lecce</t>
  </si>
  <si>
    <t>Università del Salento</t>
  </si>
  <si>
    <t>CONISMA-Urbino</t>
  </si>
  <si>
    <t>Università di Urbino</t>
  </si>
  <si>
    <t>CONISMA - Bari</t>
  </si>
  <si>
    <t>Politecnico di Bari</t>
  </si>
  <si>
    <t>CNR-IAS</t>
  </si>
  <si>
    <t>Istituto per lo studio degli impatti Antropici e Sostenibilità in ambiente marino - Oristano</t>
  </si>
  <si>
    <t>Istituto per lo studio degli impatti Antropici e Sostenibilità in ambiente marino - Capo Granitola</t>
  </si>
  <si>
    <t>CNR-IRBIM</t>
  </si>
  <si>
    <t>Istituto per le Risorse Biologiche e le Biotecnologie Marine - Messina</t>
  </si>
  <si>
    <t>Istituto per le Risorse Biologiche e le Biotecnologie Marine - Lesina</t>
  </si>
  <si>
    <t>CNR-IRSA</t>
  </si>
  <si>
    <t>CNR-IRSA -T e V</t>
  </si>
  <si>
    <t>Istituto per la Ricerca sulle Acque - Taranto e Verbania</t>
  </si>
  <si>
    <t>Antonella Petrocelli</t>
  </si>
  <si>
    <t>Istituto di Scienze Marine - Venezia</t>
  </si>
  <si>
    <t>National Institute of Oceanography and Experimental Geophysics</t>
  </si>
  <si>
    <t>Cluster BIG</t>
  </si>
  <si>
    <t>CTN-BIG</t>
  </si>
  <si>
    <t>Cluster Tecnologico Nazionale “Blue Italian Growth”</t>
  </si>
  <si>
    <t>IZPLV</t>
  </si>
  <si>
    <t>Istituto Zooprofilattico Sperimentale del Piemonte, Liguria e Valle d’Aosta</t>
  </si>
  <si>
    <t>ENEA</t>
  </si>
  <si>
    <t>Agenzia Nazionale per le nuove tecnologie, l’energia e lo sviluppo economico sostenibile</t>
  </si>
  <si>
    <t>Istituto Superiore per la Protezione e la Ricerca Ambientale</t>
  </si>
  <si>
    <t>UNITUS - DEB</t>
  </si>
  <si>
    <t>Università degli Studi della Tuscia - Department di Ecological and Biological sciences</t>
  </si>
  <si>
    <t>Università degli Studi di Cagliari</t>
  </si>
  <si>
    <t>Università degli Studi di Ferrara</t>
  </si>
  <si>
    <t>Università degli Studi di Messina</t>
  </si>
  <si>
    <t>UNIMIB</t>
  </si>
  <si>
    <t>Università degli Studi di Milano-Bicocca - The Marine Research and High Education Center</t>
  </si>
  <si>
    <t>UNINA</t>
  </si>
  <si>
    <t>UNINA - BIG FED II</t>
  </si>
  <si>
    <t>Università degli Studi di Napoli Federico II - Blue Italian Growth Federico II</t>
  </si>
  <si>
    <t>Università degli Studi di Torino</t>
  </si>
  <si>
    <t>UNIVPM</t>
  </si>
  <si>
    <t>UNIVPM - DiSVA</t>
  </si>
  <si>
    <t>Università Politecnica delle Marche -  Dipartimento delle Scienze della Vita e Ambientali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</si>
</sst>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color rgb="FF000000"/>
      <name val="Arial"/>
      <scheme val="minor"/>
    </font>
    <font>
      <b/>
      <sz val="10"/>
      <color theme="1"/>
      <name val="Arial"/>
      <scheme val="minor"/>
    </font>
    <font>
      <sz val="10"/>
      <color theme="1"/>
      <name val="Arial"/>
      <scheme val="minor"/>
    </font>
    <font>
      <sz val="10"/>
      <color theme="1"/>
      <name val="Arial"/>
    </font>
    <font>
      <b/>
      <sz val="10"/>
      <color theme="1"/>
      <name val="Calibri"/>
    </font>
    <font>
      <sz val="10"/>
      <color theme="1"/>
      <name val="Calibri"/>
    </font>
    <font>
      <b/>
      <sz val="10"/>
      <color theme="1"/>
      <name val="Arial"/>
    </font>
    <font>
      <u/>
      <sz val="10"/>
      <color rgb="FF0000FF"/>
      <name val="Arial"/>
    </font>
    <font>
      <b/>
      <sz val="11"/>
      <color rgb="FF000000"/>
      <name val="Calibri"/>
    </font>
    <font>
      <sz val="11"/>
      <color rgb="FF000000"/>
      <name val="Calibri"/>
      <family val="2"/>
    </font>
    <font>
      <sz val="10"/>
      <color rgb="FF000000"/>
      <name val="Arial"/>
      <family val="2"/>
      <scheme val="minor"/>
    </font>
    <font>
      <b/>
      <sz val="11"/>
      <color rgb="FF000000"/>
      <name val="Calibri"/>
      <family val="2"/>
    </font>
    <font>
      <b/>
      <sz val="11"/>
      <color theme="1"/>
      <name val="Arial"/>
      <family val="2"/>
    </font>
    <font>
      <sz val="10"/>
      <color theme="1"/>
      <name val="Calibri"/>
      <family val="2"/>
    </font>
    <font>
      <sz val="11"/>
      <color theme="1"/>
      <name val="Arial"/>
      <family val="2"/>
    </font>
  </fonts>
  <fills count="5">
    <fill>
      <patternFill patternType="none"/>
    </fill>
    <fill>
      <patternFill patternType="gray125"/>
    </fill>
    <fill>
      <patternFill patternType="solid">
        <fgColor theme="0"/>
        <bgColor theme="0"/>
      </patternFill>
    </fill>
    <fill>
      <patternFill patternType="solid">
        <fgColor rgb="FF00FF00"/>
        <bgColor rgb="FF00FF00"/>
      </patternFill>
    </fill>
    <fill>
      <patternFill patternType="solid">
        <fgColor rgb="FFFCE5CD"/>
        <bgColor rgb="FFFCE5CD"/>
      </patternFill>
    </fill>
  </fills>
  <borders count="2">
    <border>
      <left/>
      <right/>
      <top/>
      <bottom/>
      <diagonal/>
    </border>
    <border>
      <left style="medium">
        <color rgb="FFCCCCCC"/>
      </left>
      <right style="medium">
        <color rgb="FFCCCCCC"/>
      </right>
      <top style="medium">
        <color rgb="FFCCCCCC"/>
      </top>
      <bottom style="medium">
        <color rgb="FFCCCCCC"/>
      </bottom>
      <diagonal/>
    </border>
  </borders>
  <cellStyleXfs count="1">
    <xf numFmtId="0" fontId="0" fillId="0" borderId="0"/>
  </cellStyleXfs>
  <cellXfs count="28">
    <xf numFmtId="0" fontId="0" fillId="0" borderId="0" xfId="0"/>
    <xf numFmtId="0" fontId="1" fillId="0" borderId="0" xfId="0" applyFont="1"/>
    <xf numFmtId="0" fontId="2" fillId="0" borderId="0" xfId="0" applyFont="1"/>
    <xf numFmtId="0" fontId="4" fillId="3" borderId="0" xfId="0" applyFont="1" applyFill="1"/>
    <xf numFmtId="0" fontId="4" fillId="0" borderId="0" xfId="0" applyFont="1"/>
    <xf numFmtId="0" fontId="5" fillId="0" borderId="0" xfId="0" applyFont="1"/>
    <xf numFmtId="0" fontId="2" fillId="3" borderId="0" xfId="0" applyFont="1" applyFill="1"/>
    <xf numFmtId="0" fontId="1" fillId="3" borderId="0" xfId="0" applyFont="1" applyFill="1"/>
    <xf numFmtId="0" fontId="6" fillId="0" borderId="0" xfId="0" applyFont="1"/>
    <xf numFmtId="0" fontId="3" fillId="0" borderId="0" xfId="0" applyFont="1"/>
    <xf numFmtId="0" fontId="5" fillId="0" borderId="0" xfId="0" applyFont="1" applyAlignment="1">
      <alignment vertical="top"/>
    </xf>
    <xf numFmtId="0" fontId="5" fillId="3" borderId="0" xfId="0" applyFont="1" applyFill="1"/>
    <xf numFmtId="0" fontId="7" fillId="0" borderId="0" xfId="0" applyFont="1"/>
    <xf numFmtId="0" fontId="8" fillId="4" borderId="0" xfId="0" applyFont="1" applyFill="1" applyAlignment="1">
      <alignment horizontal="left" vertical="center" wrapText="1"/>
    </xf>
    <xf numFmtId="0" fontId="8" fillId="4" borderId="0" xfId="0" applyFont="1" applyFill="1" applyAlignment="1">
      <alignment horizontal="center" vertical="center" wrapText="1"/>
    </xf>
    <xf numFmtId="0" fontId="11" fillId="4" borderId="0" xfId="0" applyFont="1" applyFill="1" applyAlignment="1">
      <alignment horizontal="left" vertical="center" wrapText="1"/>
    </xf>
    <xf numFmtId="0" fontId="11" fillId="4" borderId="0" xfId="0" applyFont="1" applyFill="1" applyAlignment="1">
      <alignment horizontal="center" vertical="center" wrapText="1"/>
    </xf>
    <xf numFmtId="0" fontId="2" fillId="0" borderId="0" xfId="0" applyFont="1" applyBorder="1"/>
    <xf numFmtId="0" fontId="0" fillId="0" borderId="0" xfId="0" applyBorder="1"/>
    <xf numFmtId="0" fontId="9" fillId="0" borderId="0" xfId="0" applyFont="1" applyFill="1" applyBorder="1" applyAlignment="1">
      <alignment wrapText="1"/>
    </xf>
    <xf numFmtId="0" fontId="9" fillId="0" borderId="0" xfId="0" applyFont="1" applyFill="1" applyBorder="1" applyAlignment="1">
      <alignment horizontal="center" wrapText="1"/>
    </xf>
    <xf numFmtId="0" fontId="2" fillId="0" borderId="0" xfId="0" applyFont="1" applyFill="1" applyBorder="1"/>
    <xf numFmtId="0" fontId="0" fillId="0" borderId="0" xfId="0" applyFill="1" applyBorder="1"/>
    <xf numFmtId="0" fontId="12" fillId="2" borderId="0" xfId="0" applyFont="1" applyFill="1"/>
    <xf numFmtId="0" fontId="12" fillId="0" borderId="0" xfId="0" applyFont="1"/>
    <xf numFmtId="0" fontId="13" fillId="0" borderId="1" xfId="0" applyFont="1" applyBorder="1"/>
    <xf numFmtId="0" fontId="14" fillId="0" borderId="0" xfId="0" applyFont="1"/>
    <xf numFmtId="0" fontId="13" fillId="0" borderId="0" xfId="0" applyFont="1"/>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6</xdr:col>
      <xdr:colOff>419100</xdr:colOff>
      <xdr:row>4</xdr:row>
      <xdr:rowOff>0</xdr:rowOff>
    </xdr:from>
    <xdr:ext cx="9525000" cy="6315075"/>
    <xdr:grpSp>
      <xdr:nvGrpSpPr>
        <xdr:cNvPr id="2" name="Shape 2">
          <a:extLst>
            <a:ext uri="{FF2B5EF4-FFF2-40B4-BE49-F238E27FC236}">
              <a16:creationId xmlns:a16="http://schemas.microsoft.com/office/drawing/2014/main" id="{1498DC09-EBD2-41F6-974E-F76815B04577}"/>
            </a:ext>
          </a:extLst>
        </xdr:cNvPr>
        <xdr:cNvGrpSpPr/>
      </xdr:nvGrpSpPr>
      <xdr:grpSpPr>
        <a:xfrm>
          <a:off x="10972800" y="685800"/>
          <a:ext cx="9525000" cy="6315075"/>
          <a:chOff x="583500" y="622463"/>
          <a:chExt cx="9525000" cy="6315075"/>
        </a:xfrm>
      </xdr:grpSpPr>
      <xdr:grpSp>
        <xdr:nvGrpSpPr>
          <xdr:cNvPr id="3" name="Shape 3">
            <a:extLst>
              <a:ext uri="{FF2B5EF4-FFF2-40B4-BE49-F238E27FC236}">
                <a16:creationId xmlns:a16="http://schemas.microsoft.com/office/drawing/2014/main" id="{4A8B587A-B3D1-5566-4602-C20B63C0EED6}"/>
              </a:ext>
            </a:extLst>
          </xdr:cNvPr>
          <xdr:cNvGrpSpPr/>
        </xdr:nvGrpSpPr>
        <xdr:grpSpPr>
          <a:xfrm>
            <a:off x="583500" y="622463"/>
            <a:ext cx="9525000" cy="6315075"/>
            <a:chOff x="2550695" y="417416"/>
            <a:chExt cx="10026453" cy="6661965"/>
          </a:xfrm>
        </xdr:grpSpPr>
        <xdr:sp macro="" textlink="">
          <xdr:nvSpPr>
            <xdr:cNvPr id="4" name="Shape 4">
              <a:extLst>
                <a:ext uri="{FF2B5EF4-FFF2-40B4-BE49-F238E27FC236}">
                  <a16:creationId xmlns:a16="http://schemas.microsoft.com/office/drawing/2014/main" id="{344B6AB0-CF37-11B9-A745-ED26B57403B2}"/>
                </a:ext>
              </a:extLst>
            </xdr:cNvPr>
            <xdr:cNvSpPr/>
          </xdr:nvSpPr>
          <xdr:spPr>
            <a:xfrm>
              <a:off x="2550695" y="417416"/>
              <a:ext cx="10026450" cy="66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5" name="Shape 5">
              <a:extLst>
                <a:ext uri="{FF2B5EF4-FFF2-40B4-BE49-F238E27FC236}">
                  <a16:creationId xmlns:a16="http://schemas.microsoft.com/office/drawing/2014/main" id="{A2CAA0B2-AB34-8E68-0CA4-041F3FE9C3B7}"/>
                </a:ext>
              </a:extLst>
            </xdr:cNvPr>
            <xdr:cNvPicPr preferRelativeResize="0"/>
          </xdr:nvPicPr>
          <xdr:blipFill rotWithShape="1">
            <a:blip xmlns:r="http://schemas.openxmlformats.org/officeDocument/2006/relationships" r:embed="rId1">
              <a:alphaModFix/>
            </a:blip>
            <a:srcRect/>
            <a:stretch/>
          </xdr:blipFill>
          <xdr:spPr>
            <a:xfrm>
              <a:off x="2550695" y="417416"/>
              <a:ext cx="6891688" cy="6661965"/>
            </a:xfrm>
            <a:prstGeom prst="rect">
              <a:avLst/>
            </a:prstGeom>
            <a:noFill/>
            <a:ln w="19050" cap="flat" cmpd="sng">
              <a:solidFill>
                <a:schemeClr val="dk1"/>
              </a:solidFill>
              <a:prstDash val="solid"/>
              <a:round/>
              <a:headEnd type="none" w="sm" len="sm"/>
              <a:tailEnd type="none" w="sm" len="sm"/>
            </a:ln>
          </xdr:spPr>
        </xdr:pic>
        <xdr:pic>
          <xdr:nvPicPr>
            <xdr:cNvPr id="6" name="Shape 6">
              <a:extLst>
                <a:ext uri="{FF2B5EF4-FFF2-40B4-BE49-F238E27FC236}">
                  <a16:creationId xmlns:a16="http://schemas.microsoft.com/office/drawing/2014/main" id="{3E55327D-7531-C2CB-2366-267D00386B66}"/>
                </a:ext>
              </a:extLst>
            </xdr:cNvPr>
            <xdr:cNvPicPr preferRelativeResize="0"/>
          </xdr:nvPicPr>
          <xdr:blipFill rotWithShape="1">
            <a:blip xmlns:r="http://schemas.openxmlformats.org/officeDocument/2006/relationships" r:embed="rId2">
              <a:alphaModFix/>
            </a:blip>
            <a:srcRect/>
            <a:stretch/>
          </xdr:blipFill>
          <xdr:spPr>
            <a:xfrm>
              <a:off x="9139896" y="5451620"/>
              <a:ext cx="1054154" cy="863644"/>
            </a:xfrm>
            <a:prstGeom prst="rect">
              <a:avLst/>
            </a:prstGeom>
            <a:noFill/>
            <a:ln>
              <a:noFill/>
            </a:ln>
          </xdr:spPr>
        </xdr:pic>
        <xdr:sp macro="" textlink="">
          <xdr:nvSpPr>
            <xdr:cNvPr id="7" name="Shape 7">
              <a:extLst>
                <a:ext uri="{FF2B5EF4-FFF2-40B4-BE49-F238E27FC236}">
                  <a16:creationId xmlns:a16="http://schemas.microsoft.com/office/drawing/2014/main" id="{5D7848AB-F5F1-09EA-62FE-FE10E9B07FF0}"/>
                </a:ext>
              </a:extLst>
            </xdr:cNvPr>
            <xdr:cNvSpPr/>
          </xdr:nvSpPr>
          <xdr:spPr>
            <a:xfrm>
              <a:off x="9184404" y="6315264"/>
              <a:ext cx="1456462" cy="35647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PADOVA</a:t>
              </a:r>
              <a:endParaRPr sz="1400"/>
            </a:p>
          </xdr:txBody>
        </xdr:sp>
        <xdr:pic>
          <xdr:nvPicPr>
            <xdr:cNvPr id="8" name="Shape 8">
              <a:extLst>
                <a:ext uri="{FF2B5EF4-FFF2-40B4-BE49-F238E27FC236}">
                  <a16:creationId xmlns:a16="http://schemas.microsoft.com/office/drawing/2014/main" id="{9C886397-AEEE-495F-ABCB-D498ADC2ADE6}"/>
                </a:ext>
              </a:extLst>
            </xdr:cNvPr>
            <xdr:cNvPicPr preferRelativeResize="0"/>
          </xdr:nvPicPr>
          <xdr:blipFill rotWithShape="1">
            <a:blip xmlns:r="http://schemas.openxmlformats.org/officeDocument/2006/relationships" r:embed="rId3">
              <a:alphaModFix/>
            </a:blip>
            <a:srcRect/>
            <a:stretch/>
          </xdr:blipFill>
          <xdr:spPr>
            <a:xfrm>
              <a:off x="10416802" y="4989683"/>
              <a:ext cx="742988" cy="768389"/>
            </a:xfrm>
            <a:prstGeom prst="rect">
              <a:avLst/>
            </a:prstGeom>
            <a:noFill/>
            <a:ln>
              <a:noFill/>
            </a:ln>
          </xdr:spPr>
        </xdr:pic>
        <xdr:sp macro="" textlink="">
          <xdr:nvSpPr>
            <xdr:cNvPr id="9" name="Shape 9">
              <a:extLst>
                <a:ext uri="{FF2B5EF4-FFF2-40B4-BE49-F238E27FC236}">
                  <a16:creationId xmlns:a16="http://schemas.microsoft.com/office/drawing/2014/main" id="{CC708BB5-A1A1-4721-D6A9-B554E16903C8}"/>
                </a:ext>
              </a:extLst>
            </xdr:cNvPr>
            <xdr:cNvSpPr/>
          </xdr:nvSpPr>
          <xdr:spPr>
            <a:xfrm>
              <a:off x="10502472" y="4565606"/>
              <a:ext cx="1532978" cy="35647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CAMERINO</a:t>
              </a:r>
              <a:endParaRPr sz="1400"/>
            </a:p>
          </xdr:txBody>
        </xdr:sp>
        <xdr:pic>
          <xdr:nvPicPr>
            <xdr:cNvPr id="10" name="Shape 10">
              <a:extLst>
                <a:ext uri="{FF2B5EF4-FFF2-40B4-BE49-F238E27FC236}">
                  <a16:creationId xmlns:a16="http://schemas.microsoft.com/office/drawing/2014/main" id="{BF3FE6F3-AD62-28BB-67FE-B51E390A3E84}"/>
                </a:ext>
              </a:extLst>
            </xdr:cNvPr>
            <xdr:cNvPicPr preferRelativeResize="0"/>
          </xdr:nvPicPr>
          <xdr:blipFill rotWithShape="1">
            <a:blip xmlns:r="http://schemas.openxmlformats.org/officeDocument/2006/relationships" r:embed="rId4">
              <a:alphaModFix/>
            </a:blip>
            <a:srcRect/>
            <a:stretch/>
          </xdr:blipFill>
          <xdr:spPr>
            <a:xfrm>
              <a:off x="10589693" y="3748398"/>
              <a:ext cx="685835" cy="806491"/>
            </a:xfrm>
            <a:prstGeom prst="rect">
              <a:avLst/>
            </a:prstGeom>
            <a:noFill/>
            <a:ln>
              <a:noFill/>
            </a:ln>
          </xdr:spPr>
        </xdr:pic>
        <xdr:pic>
          <xdr:nvPicPr>
            <xdr:cNvPr id="11" name="Shape 11">
              <a:extLst>
                <a:ext uri="{FF2B5EF4-FFF2-40B4-BE49-F238E27FC236}">
                  <a16:creationId xmlns:a16="http://schemas.microsoft.com/office/drawing/2014/main" id="{820E6196-A1A6-F20A-3ABB-E33202512789}"/>
                </a:ext>
              </a:extLst>
            </xdr:cNvPr>
            <xdr:cNvPicPr preferRelativeResize="0"/>
          </xdr:nvPicPr>
          <xdr:blipFill rotWithShape="1">
            <a:blip xmlns:r="http://schemas.openxmlformats.org/officeDocument/2006/relationships" r:embed="rId5">
              <a:alphaModFix/>
            </a:blip>
            <a:srcRect/>
            <a:stretch/>
          </xdr:blipFill>
          <xdr:spPr>
            <a:xfrm>
              <a:off x="11343385" y="5553407"/>
              <a:ext cx="787440" cy="666784"/>
            </a:xfrm>
            <a:prstGeom prst="rect">
              <a:avLst/>
            </a:prstGeom>
            <a:noFill/>
            <a:ln>
              <a:noFill/>
            </a:ln>
          </xdr:spPr>
        </xdr:pic>
        <xdr:sp macro="" textlink="">
          <xdr:nvSpPr>
            <xdr:cNvPr id="12" name="Shape 12">
              <a:extLst>
                <a:ext uri="{FF2B5EF4-FFF2-40B4-BE49-F238E27FC236}">
                  <a16:creationId xmlns:a16="http://schemas.microsoft.com/office/drawing/2014/main" id="{35B6C095-45EC-D63A-4184-7CB1FAFE5F90}"/>
                </a:ext>
              </a:extLst>
            </xdr:cNvPr>
            <xdr:cNvSpPr/>
          </xdr:nvSpPr>
          <xdr:spPr>
            <a:xfrm>
              <a:off x="11379786" y="6361793"/>
              <a:ext cx="1197362" cy="35647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LECCE</a:t>
              </a:r>
              <a:endParaRPr sz="1400"/>
            </a:p>
          </xdr:txBody>
        </xdr:sp>
        <xdr:sp macro="" textlink="">
          <xdr:nvSpPr>
            <xdr:cNvPr id="13" name="Shape 13">
              <a:extLst>
                <a:ext uri="{FF2B5EF4-FFF2-40B4-BE49-F238E27FC236}">
                  <a16:creationId xmlns:a16="http://schemas.microsoft.com/office/drawing/2014/main" id="{FE12CB08-D61A-9CBB-8C23-A057CC1A4D71}"/>
                </a:ext>
              </a:extLst>
            </xdr:cNvPr>
            <xdr:cNvSpPr/>
          </xdr:nvSpPr>
          <xdr:spPr>
            <a:xfrm>
              <a:off x="10310304" y="5698775"/>
              <a:ext cx="1229550" cy="35647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URBINO</a:t>
              </a:r>
              <a:endParaRPr sz="1400"/>
            </a:p>
          </xdr:txBody>
        </xdr:sp>
        <xdr:pic>
          <xdr:nvPicPr>
            <xdr:cNvPr id="14" name="Shape 14">
              <a:extLst>
                <a:ext uri="{FF2B5EF4-FFF2-40B4-BE49-F238E27FC236}">
                  <a16:creationId xmlns:a16="http://schemas.microsoft.com/office/drawing/2014/main" id="{3B2A370A-D64B-A531-699A-D89E235C42A4}"/>
                </a:ext>
              </a:extLst>
            </xdr:cNvPr>
            <xdr:cNvPicPr preferRelativeResize="0"/>
          </xdr:nvPicPr>
          <xdr:blipFill rotWithShape="1">
            <a:blip xmlns:r="http://schemas.openxmlformats.org/officeDocument/2006/relationships" r:embed="rId6">
              <a:alphaModFix/>
            </a:blip>
            <a:srcRect/>
            <a:stretch/>
          </xdr:blipFill>
          <xdr:spPr>
            <a:xfrm>
              <a:off x="11275528" y="2635196"/>
              <a:ext cx="762039" cy="971600"/>
            </a:xfrm>
            <a:prstGeom prst="rect">
              <a:avLst/>
            </a:prstGeom>
            <a:noFill/>
            <a:ln>
              <a:noFill/>
            </a:ln>
          </xdr:spPr>
        </xdr:pic>
        <xdr:sp macro="" textlink="">
          <xdr:nvSpPr>
            <xdr:cNvPr id="15" name="Shape 15">
              <a:extLst>
                <a:ext uri="{FF2B5EF4-FFF2-40B4-BE49-F238E27FC236}">
                  <a16:creationId xmlns:a16="http://schemas.microsoft.com/office/drawing/2014/main" id="{FBC73879-454C-B361-03A8-66F96B5E0481}"/>
                </a:ext>
              </a:extLst>
            </xdr:cNvPr>
            <xdr:cNvSpPr/>
          </xdr:nvSpPr>
          <xdr:spPr>
            <a:xfrm>
              <a:off x="11361584" y="3449502"/>
              <a:ext cx="962002" cy="35647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BARI</a:t>
              </a:r>
              <a:endParaRPr sz="1400"/>
            </a:p>
          </xdr:txBody>
        </xdr:sp>
        <xdr:cxnSp macro="">
          <xdr:nvCxnSpPr>
            <xdr:cNvPr id="16" name="Shape 16">
              <a:extLst>
                <a:ext uri="{FF2B5EF4-FFF2-40B4-BE49-F238E27FC236}">
                  <a16:creationId xmlns:a16="http://schemas.microsoft.com/office/drawing/2014/main" id="{DA94EA0B-037C-48CC-A60A-4D4911787A8D}"/>
                </a:ext>
              </a:extLst>
            </xdr:cNvPr>
            <xdr:cNvCxnSpPr/>
          </xdr:nvCxnSpPr>
          <xdr:spPr>
            <a:xfrm rot="10800000" flipH="1">
              <a:off x="8874493" y="3120996"/>
              <a:ext cx="2245295" cy="1813942"/>
            </a:xfrm>
            <a:prstGeom prst="straightConnector1">
              <a:avLst/>
            </a:prstGeom>
            <a:noFill/>
            <a:ln w="19050" cap="flat" cmpd="sng">
              <a:solidFill>
                <a:schemeClr val="accent1"/>
              </a:solidFill>
              <a:prstDash val="solid"/>
              <a:miter lim="800000"/>
              <a:headEnd type="none" w="sm" len="sm"/>
              <a:tailEnd type="triangle" w="med" len="med"/>
            </a:ln>
          </xdr:spPr>
        </xdr:cxnSp>
        <xdr:cxnSp macro="">
          <xdr:nvCxnSpPr>
            <xdr:cNvPr id="17" name="Shape 17">
              <a:extLst>
                <a:ext uri="{FF2B5EF4-FFF2-40B4-BE49-F238E27FC236}">
                  <a16:creationId xmlns:a16="http://schemas.microsoft.com/office/drawing/2014/main" id="{CFD72775-836B-CDD5-393C-A9DAC359443C}"/>
                </a:ext>
              </a:extLst>
            </xdr:cNvPr>
            <xdr:cNvCxnSpPr>
              <a:endCxn id="10" idx="1"/>
            </xdr:cNvCxnSpPr>
          </xdr:nvCxnSpPr>
          <xdr:spPr>
            <a:xfrm rot="10800000" flipH="1">
              <a:off x="8936993" y="4151644"/>
              <a:ext cx="1652700" cy="824700"/>
            </a:xfrm>
            <a:prstGeom prst="straightConnector1">
              <a:avLst/>
            </a:prstGeom>
            <a:noFill/>
            <a:ln w="19050" cap="flat" cmpd="sng">
              <a:solidFill>
                <a:schemeClr val="accent1"/>
              </a:solidFill>
              <a:prstDash val="solid"/>
              <a:miter lim="800000"/>
              <a:headEnd type="none" w="sm" len="sm"/>
              <a:tailEnd type="triangle" w="med" len="med"/>
            </a:ln>
          </xdr:spPr>
        </xdr:cxnSp>
        <xdr:cxnSp macro="">
          <xdr:nvCxnSpPr>
            <xdr:cNvPr id="18" name="Shape 18">
              <a:extLst>
                <a:ext uri="{FF2B5EF4-FFF2-40B4-BE49-F238E27FC236}">
                  <a16:creationId xmlns:a16="http://schemas.microsoft.com/office/drawing/2014/main" id="{B45C82F9-D03A-292D-D7E5-6234CDD9288C}"/>
                </a:ext>
              </a:extLst>
            </xdr:cNvPr>
            <xdr:cNvCxnSpPr/>
          </xdr:nvCxnSpPr>
          <xdr:spPr>
            <a:xfrm>
              <a:off x="8969616" y="4989683"/>
              <a:ext cx="2373769" cy="1285071"/>
            </a:xfrm>
            <a:prstGeom prst="straightConnector1">
              <a:avLst/>
            </a:prstGeom>
            <a:noFill/>
            <a:ln w="9525" cap="flat" cmpd="sng">
              <a:solidFill>
                <a:schemeClr val="accent1"/>
              </a:solidFill>
              <a:prstDash val="solid"/>
              <a:miter lim="800000"/>
              <a:headEnd type="none" w="sm" len="sm"/>
              <a:tailEnd type="triangle" w="med" len="med"/>
            </a:ln>
          </xdr:spPr>
        </xdr:cxnSp>
        <xdr:cxnSp macro="">
          <xdr:nvCxnSpPr>
            <xdr:cNvPr id="19" name="Shape 19">
              <a:extLst>
                <a:ext uri="{FF2B5EF4-FFF2-40B4-BE49-F238E27FC236}">
                  <a16:creationId xmlns:a16="http://schemas.microsoft.com/office/drawing/2014/main" id="{25AD7A58-7DF8-1C5C-03F0-B03BC644E77C}"/>
                </a:ext>
              </a:extLst>
            </xdr:cNvPr>
            <xdr:cNvCxnSpPr/>
          </xdr:nvCxnSpPr>
          <xdr:spPr>
            <a:xfrm>
              <a:off x="8937001" y="4976471"/>
              <a:ext cx="1373303" cy="205820"/>
            </a:xfrm>
            <a:prstGeom prst="straightConnector1">
              <a:avLst/>
            </a:prstGeom>
            <a:noFill/>
            <a:ln w="19050" cap="flat" cmpd="sng">
              <a:solidFill>
                <a:schemeClr val="accent1"/>
              </a:solidFill>
              <a:prstDash val="solid"/>
              <a:miter lim="800000"/>
              <a:headEnd type="none" w="sm" len="sm"/>
              <a:tailEnd type="triangle" w="med" len="med"/>
            </a:ln>
          </xdr:spPr>
        </xdr:cxnSp>
        <xdr:cxnSp macro="">
          <xdr:nvCxnSpPr>
            <xdr:cNvPr id="20" name="Shape 20">
              <a:extLst>
                <a:ext uri="{FF2B5EF4-FFF2-40B4-BE49-F238E27FC236}">
                  <a16:creationId xmlns:a16="http://schemas.microsoft.com/office/drawing/2014/main" id="{AA8D6C52-0F37-5F1B-513F-B123229E49BC}"/>
                </a:ext>
              </a:extLst>
            </xdr:cNvPr>
            <xdr:cNvCxnSpPr/>
          </xdr:nvCxnSpPr>
          <xdr:spPr>
            <a:xfrm>
              <a:off x="9139896" y="5698776"/>
              <a:ext cx="711505" cy="191072"/>
            </a:xfrm>
            <a:prstGeom prst="straightConnector1">
              <a:avLst/>
            </a:prstGeom>
            <a:noFill/>
            <a:ln w="9525" cap="flat" cmpd="sng">
              <a:solidFill>
                <a:schemeClr val="accent1"/>
              </a:solidFill>
              <a:prstDash val="solid"/>
              <a:miter lim="800000"/>
              <a:headEnd type="none" w="sm" len="sm"/>
              <a:tailEnd type="triangle" w="med" len="med"/>
            </a:ln>
          </xdr:spPr>
        </xdr:cxnSp>
      </xdr:grp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1" Type="http://schemas.openxmlformats.org/officeDocument/2006/relationships/hyperlink" Target="https://unica.it/unica/en/cesar.pag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R123"/>
  <sheetViews>
    <sheetView topLeftCell="A15" workbookViewId="0">
      <selection activeCell="C6" sqref="C6"/>
    </sheetView>
  </sheetViews>
  <sheetFormatPr defaultColWidth="12.5703125" defaultRowHeight="15.75" customHeight="1" x14ac:dyDescent="0.2"/>
  <cols>
    <col min="2" max="2" width="25.42578125" customWidth="1"/>
    <col min="3" max="3" width="90.7109375" customWidth="1"/>
    <col min="5" max="5" width="25.7109375" customWidth="1"/>
    <col min="6" max="6" width="13.28515625" bestFit="1" customWidth="1"/>
    <col min="7" max="7" width="18.85546875" bestFit="1" customWidth="1"/>
    <col min="8" max="8" width="17.7109375" bestFit="1" customWidth="1"/>
    <col min="9" max="9" width="23.28515625" bestFit="1" customWidth="1"/>
    <col min="10" max="10" width="16.42578125" customWidth="1"/>
    <col min="11" max="11" width="17.5703125" customWidth="1"/>
    <col min="12" max="12" width="14.42578125" bestFit="1" customWidth="1"/>
    <col min="13" max="13" width="11.28515625" bestFit="1" customWidth="1"/>
    <col min="14" max="14" width="14.5703125" bestFit="1" customWidth="1"/>
    <col min="15" max="15" width="6.42578125" bestFit="1" customWidth="1"/>
    <col min="16" max="16" width="22.7109375" bestFit="1" customWidth="1"/>
    <col min="17" max="17" width="9.5703125" bestFit="1" customWidth="1"/>
    <col min="18" max="18" width="17.5703125" bestFit="1" customWidth="1"/>
  </cols>
  <sheetData>
    <row r="1" spans="1:18" ht="15.75" customHeight="1" x14ac:dyDescent="0.2">
      <c r="A1" s="16" t="s">
        <v>276</v>
      </c>
      <c r="B1" s="15" t="s">
        <v>274</v>
      </c>
      <c r="C1" s="16" t="s">
        <v>275</v>
      </c>
      <c r="D1" s="16" t="s">
        <v>277</v>
      </c>
      <c r="E1" s="16" t="s">
        <v>278</v>
      </c>
      <c r="F1" s="16" t="s">
        <v>279</v>
      </c>
      <c r="G1" s="16" t="s">
        <v>280</v>
      </c>
      <c r="H1" s="16" t="s">
        <v>281</v>
      </c>
      <c r="I1" s="16" t="s">
        <v>282</v>
      </c>
      <c r="J1" s="14"/>
      <c r="K1" s="13"/>
      <c r="L1" s="14"/>
      <c r="M1" s="14"/>
      <c r="N1" s="14"/>
      <c r="O1" s="14"/>
      <c r="P1" s="14"/>
      <c r="Q1" s="14"/>
      <c r="R1" s="14"/>
    </row>
    <row r="2" spans="1:18" ht="15" x14ac:dyDescent="0.25">
      <c r="A2" s="17" t="s">
        <v>200</v>
      </c>
      <c r="B2" s="17" t="s">
        <v>263</v>
      </c>
      <c r="C2" s="17" t="s">
        <v>37</v>
      </c>
      <c r="D2" s="17" t="s">
        <v>203</v>
      </c>
      <c r="E2" s="17" t="s">
        <v>14</v>
      </c>
      <c r="F2" s="18" t="s">
        <v>269</v>
      </c>
      <c r="G2" s="18" t="s">
        <v>283</v>
      </c>
      <c r="H2" s="18" t="s">
        <v>284</v>
      </c>
      <c r="I2" s="18" t="s">
        <v>285</v>
      </c>
      <c r="J2" s="19"/>
      <c r="K2" s="20"/>
    </row>
    <row r="3" spans="1:18" ht="120" x14ac:dyDescent="0.25">
      <c r="A3" s="17" t="s">
        <v>200</v>
      </c>
      <c r="B3" s="17" t="s">
        <v>265</v>
      </c>
      <c r="C3" s="17" t="s">
        <v>53</v>
      </c>
      <c r="D3" s="18" t="s">
        <v>206</v>
      </c>
      <c r="E3" s="17" t="s">
        <v>14</v>
      </c>
      <c r="F3" s="18" t="s">
        <v>269</v>
      </c>
      <c r="G3" s="18" t="s">
        <v>207</v>
      </c>
      <c r="H3" s="18" t="s">
        <v>286</v>
      </c>
      <c r="I3" s="18" t="s">
        <v>287</v>
      </c>
      <c r="J3" s="19" t="s">
        <v>288</v>
      </c>
      <c r="K3" s="20"/>
    </row>
    <row r="4" spans="1:18" ht="15" x14ac:dyDescent="0.25">
      <c r="A4" s="17" t="s">
        <v>200</v>
      </c>
      <c r="B4" s="17" t="s">
        <v>265</v>
      </c>
      <c r="C4" s="17" t="s">
        <v>76</v>
      </c>
      <c r="D4" s="17" t="s">
        <v>289</v>
      </c>
      <c r="E4" s="17" t="s">
        <v>14</v>
      </c>
      <c r="F4" s="18" t="s">
        <v>269</v>
      </c>
      <c r="G4" s="18" t="s">
        <v>210</v>
      </c>
      <c r="H4" s="18"/>
      <c r="I4" s="18" t="s">
        <v>290</v>
      </c>
      <c r="J4" s="19"/>
      <c r="K4" s="20"/>
    </row>
    <row r="5" spans="1:18" ht="45" x14ac:dyDescent="0.25">
      <c r="A5" s="17" t="s">
        <v>200</v>
      </c>
      <c r="B5" s="17" t="s">
        <v>265</v>
      </c>
      <c r="C5" s="17" t="s">
        <v>32</v>
      </c>
      <c r="D5" s="17" t="s">
        <v>291</v>
      </c>
      <c r="E5" s="17" t="s">
        <v>14</v>
      </c>
      <c r="F5" s="18" t="s">
        <v>269</v>
      </c>
      <c r="G5" s="18" t="s">
        <v>211</v>
      </c>
      <c r="H5" s="18" t="s">
        <v>292</v>
      </c>
      <c r="I5" s="18" t="s">
        <v>293</v>
      </c>
      <c r="J5" s="19" t="s">
        <v>294</v>
      </c>
      <c r="K5" s="20"/>
    </row>
    <row r="6" spans="1:18" ht="45" x14ac:dyDescent="0.25">
      <c r="A6" s="17" t="s">
        <v>200</v>
      </c>
      <c r="B6" s="17" t="s">
        <v>264</v>
      </c>
      <c r="C6" s="17" t="s">
        <v>22</v>
      </c>
      <c r="D6" s="17" t="s">
        <v>204</v>
      </c>
      <c r="E6" s="17" t="s">
        <v>14</v>
      </c>
      <c r="F6" s="18" t="s">
        <v>269</v>
      </c>
      <c r="G6" s="18" t="s">
        <v>205</v>
      </c>
      <c r="H6" s="18"/>
      <c r="I6" s="18" t="s">
        <v>295</v>
      </c>
      <c r="J6" s="19" t="s">
        <v>296</v>
      </c>
      <c r="K6" s="20"/>
    </row>
    <row r="7" spans="1:18" ht="15" x14ac:dyDescent="0.25">
      <c r="A7" s="17" t="s">
        <v>200</v>
      </c>
      <c r="B7" s="17" t="s">
        <v>265</v>
      </c>
      <c r="C7" s="17" t="s">
        <v>176</v>
      </c>
      <c r="D7" s="18" t="s">
        <v>208</v>
      </c>
      <c r="E7" s="17" t="s">
        <v>14</v>
      </c>
      <c r="F7" s="18" t="s">
        <v>269</v>
      </c>
      <c r="G7" s="18" t="s">
        <v>209</v>
      </c>
      <c r="H7" s="18"/>
      <c r="I7" s="18" t="s">
        <v>285</v>
      </c>
      <c r="J7" s="19"/>
      <c r="K7" s="20"/>
    </row>
    <row r="8" spans="1:18" ht="15" x14ac:dyDescent="0.25">
      <c r="A8" s="17" t="s">
        <v>200</v>
      </c>
      <c r="B8" s="17" t="s">
        <v>263</v>
      </c>
      <c r="C8" s="17" t="s">
        <v>182</v>
      </c>
      <c r="D8" s="17" t="s">
        <v>201</v>
      </c>
      <c r="E8" s="17" t="s">
        <v>14</v>
      </c>
      <c r="F8" s="18" t="s">
        <v>269</v>
      </c>
      <c r="G8" s="18"/>
      <c r="H8" s="18"/>
      <c r="I8" s="18"/>
      <c r="J8" s="19"/>
      <c r="K8" s="20"/>
    </row>
    <row r="9" spans="1:18" ht="15" x14ac:dyDescent="0.25">
      <c r="A9" s="17" t="s">
        <v>200</v>
      </c>
      <c r="B9" s="17" t="s">
        <v>263</v>
      </c>
      <c r="C9" s="17" t="s">
        <v>96</v>
      </c>
      <c r="D9" s="17" t="s">
        <v>202</v>
      </c>
      <c r="E9" s="17" t="s">
        <v>14</v>
      </c>
      <c r="F9" s="18" t="s">
        <v>269</v>
      </c>
      <c r="G9" s="18"/>
      <c r="H9" s="18"/>
      <c r="I9" s="18"/>
      <c r="J9" s="19"/>
      <c r="K9" s="20"/>
    </row>
    <row r="10" spans="1:18" ht="15" x14ac:dyDescent="0.25">
      <c r="A10" s="17" t="s">
        <v>7</v>
      </c>
      <c r="B10" s="17" t="s">
        <v>262</v>
      </c>
      <c r="C10" s="17" t="s">
        <v>11</v>
      </c>
      <c r="D10" s="17" t="s">
        <v>12</v>
      </c>
      <c r="E10" s="17" t="s">
        <v>14</v>
      </c>
      <c r="F10" s="18" t="s">
        <v>297</v>
      </c>
      <c r="G10" s="18" t="s">
        <v>13</v>
      </c>
      <c r="H10" s="18" t="s">
        <v>298</v>
      </c>
      <c r="I10" s="18"/>
      <c r="J10" s="19"/>
      <c r="K10" s="20"/>
    </row>
    <row r="11" spans="1:18" ht="15" x14ac:dyDescent="0.25">
      <c r="A11" s="17" t="s">
        <v>7</v>
      </c>
      <c r="B11" s="17" t="s">
        <v>266</v>
      </c>
      <c r="C11" s="17" t="s">
        <v>6</v>
      </c>
      <c r="D11" s="17" t="s">
        <v>8</v>
      </c>
      <c r="E11" s="17" t="s">
        <v>10</v>
      </c>
      <c r="F11" s="18" t="s">
        <v>297</v>
      </c>
      <c r="G11" s="18" t="s">
        <v>253</v>
      </c>
      <c r="H11" s="18" t="s">
        <v>299</v>
      </c>
      <c r="I11" s="18"/>
      <c r="J11" s="19"/>
      <c r="K11" s="20"/>
    </row>
    <row r="12" spans="1:18" ht="15" x14ac:dyDescent="0.25">
      <c r="A12" s="17" t="s">
        <v>7</v>
      </c>
      <c r="B12" s="17" t="s">
        <v>265</v>
      </c>
      <c r="C12" s="17" t="s">
        <v>15</v>
      </c>
      <c r="D12" s="17" t="s">
        <v>16</v>
      </c>
      <c r="E12" s="17" t="s">
        <v>14</v>
      </c>
      <c r="F12" s="18" t="s">
        <v>297</v>
      </c>
      <c r="G12" s="18" t="s">
        <v>17</v>
      </c>
      <c r="H12" s="18" t="s">
        <v>300</v>
      </c>
      <c r="I12" s="18"/>
      <c r="J12" s="19"/>
      <c r="K12" s="20"/>
    </row>
    <row r="13" spans="1:18" ht="15" x14ac:dyDescent="0.25">
      <c r="A13" s="17" t="s">
        <v>19</v>
      </c>
      <c r="B13" s="17" t="s">
        <v>263</v>
      </c>
      <c r="C13" s="17" t="s">
        <v>18</v>
      </c>
      <c r="D13" s="17" t="s">
        <v>20</v>
      </c>
      <c r="E13" s="17" t="s">
        <v>14</v>
      </c>
      <c r="F13" s="18" t="s">
        <v>297</v>
      </c>
      <c r="G13" s="18" t="s">
        <v>21</v>
      </c>
      <c r="H13" s="18" t="s">
        <v>301</v>
      </c>
      <c r="I13" s="18"/>
      <c r="J13" s="19"/>
      <c r="K13" s="20"/>
    </row>
    <row r="14" spans="1:18" ht="15" x14ac:dyDescent="0.25">
      <c r="A14" s="17" t="s">
        <v>19</v>
      </c>
      <c r="B14" s="17" t="s">
        <v>264</v>
      </c>
      <c r="C14" s="17" t="s">
        <v>22</v>
      </c>
      <c r="D14" s="17" t="s">
        <v>23</v>
      </c>
      <c r="E14" s="17" t="s">
        <v>14</v>
      </c>
      <c r="F14" s="18" t="s">
        <v>297</v>
      </c>
      <c r="G14" s="18" t="s">
        <v>24</v>
      </c>
      <c r="H14" s="18" t="s">
        <v>302</v>
      </c>
      <c r="I14" s="18"/>
      <c r="J14" s="19"/>
      <c r="K14" s="20"/>
    </row>
    <row r="15" spans="1:18" ht="15" x14ac:dyDescent="0.25">
      <c r="A15" s="17" t="s">
        <v>88</v>
      </c>
      <c r="B15" s="17" t="s">
        <v>264</v>
      </c>
      <c r="C15" s="17" t="s">
        <v>22</v>
      </c>
      <c r="D15" s="17" t="s">
        <v>89</v>
      </c>
      <c r="E15" s="17" t="s">
        <v>14</v>
      </c>
      <c r="F15" s="18" t="s">
        <v>269</v>
      </c>
      <c r="G15" s="18" t="s">
        <v>90</v>
      </c>
      <c r="H15" s="18"/>
      <c r="I15" s="18"/>
      <c r="J15" s="19"/>
      <c r="K15" s="20"/>
    </row>
    <row r="16" spans="1:18" ht="15" x14ac:dyDescent="0.25">
      <c r="A16" s="17" t="s">
        <v>88</v>
      </c>
      <c r="B16" s="17" t="s">
        <v>265</v>
      </c>
      <c r="C16" s="17" t="s">
        <v>32</v>
      </c>
      <c r="D16" s="17" t="s">
        <v>91</v>
      </c>
      <c r="E16" s="17" t="s">
        <v>14</v>
      </c>
      <c r="F16" s="18" t="s">
        <v>269</v>
      </c>
      <c r="G16" s="18" t="s">
        <v>92</v>
      </c>
      <c r="H16" s="18"/>
      <c r="I16" s="18"/>
      <c r="J16" s="19"/>
      <c r="K16" s="20"/>
    </row>
    <row r="17" spans="1:11" ht="15" x14ac:dyDescent="0.25">
      <c r="A17" s="17" t="s">
        <v>57</v>
      </c>
      <c r="B17" s="17" t="s">
        <v>265</v>
      </c>
      <c r="C17" s="17" t="s">
        <v>15</v>
      </c>
      <c r="D17" s="17" t="s">
        <v>59</v>
      </c>
      <c r="E17" s="17" t="s">
        <v>27</v>
      </c>
      <c r="F17" s="18" t="s">
        <v>269</v>
      </c>
      <c r="G17" s="18" t="s">
        <v>60</v>
      </c>
      <c r="H17" s="18"/>
      <c r="I17" s="18"/>
      <c r="J17" s="19"/>
      <c r="K17" s="20"/>
    </row>
    <row r="18" spans="1:11" ht="15" x14ac:dyDescent="0.25">
      <c r="A18" s="17" t="s">
        <v>57</v>
      </c>
      <c r="B18" s="17" t="s">
        <v>266</v>
      </c>
      <c r="C18" s="17" t="s">
        <v>6</v>
      </c>
      <c r="D18" s="17" t="s">
        <v>58</v>
      </c>
      <c r="E18" s="17" t="s">
        <v>10</v>
      </c>
      <c r="F18" s="18" t="s">
        <v>269</v>
      </c>
      <c r="G18" s="18" t="s">
        <v>9</v>
      </c>
      <c r="H18" s="18"/>
      <c r="I18" s="18"/>
      <c r="J18" s="19"/>
      <c r="K18" s="20"/>
    </row>
    <row r="19" spans="1:11" ht="15" x14ac:dyDescent="0.25">
      <c r="A19" s="17" t="s">
        <v>57</v>
      </c>
      <c r="B19" s="17" t="s">
        <v>265</v>
      </c>
      <c r="C19" s="17" t="s">
        <v>32</v>
      </c>
      <c r="D19" s="17" t="s">
        <v>61</v>
      </c>
      <c r="E19" s="17" t="s">
        <v>14</v>
      </c>
      <c r="F19" s="18" t="s">
        <v>269</v>
      </c>
      <c r="G19" s="18" t="s">
        <v>62</v>
      </c>
      <c r="H19" s="18"/>
      <c r="I19" s="18"/>
      <c r="J19" s="19"/>
      <c r="K19" s="20"/>
    </row>
    <row r="20" spans="1:11" ht="15" x14ac:dyDescent="0.25">
      <c r="A20" s="17" t="s">
        <v>81</v>
      </c>
      <c r="B20" s="17" t="s">
        <v>264</v>
      </c>
      <c r="C20" s="17" t="s">
        <v>22</v>
      </c>
      <c r="D20" s="17" t="s">
        <v>84</v>
      </c>
      <c r="E20" s="17" t="s">
        <v>14</v>
      </c>
      <c r="F20" s="18" t="s">
        <v>269</v>
      </c>
      <c r="G20" s="18" t="s">
        <v>85</v>
      </c>
      <c r="H20" s="18"/>
      <c r="I20" s="18"/>
      <c r="J20" s="19"/>
      <c r="K20" s="20"/>
    </row>
    <row r="21" spans="1:11" ht="15" x14ac:dyDescent="0.25">
      <c r="A21" s="17" t="s">
        <v>81</v>
      </c>
      <c r="B21" s="17" t="s">
        <v>265</v>
      </c>
      <c r="C21" s="17" t="s">
        <v>32</v>
      </c>
      <c r="D21" s="17" t="s">
        <v>86</v>
      </c>
      <c r="E21" s="17" t="s">
        <v>14</v>
      </c>
      <c r="F21" s="18" t="s">
        <v>269</v>
      </c>
      <c r="G21" s="18" t="s">
        <v>87</v>
      </c>
      <c r="H21" s="18"/>
      <c r="I21" s="18"/>
      <c r="J21" s="19"/>
      <c r="K21" s="20"/>
    </row>
    <row r="22" spans="1:11" ht="15" x14ac:dyDescent="0.25">
      <c r="A22" s="17" t="s">
        <v>81</v>
      </c>
      <c r="B22" s="17" t="s">
        <v>263</v>
      </c>
      <c r="C22" s="17" t="s">
        <v>37</v>
      </c>
      <c r="D22" s="17" t="s">
        <v>82</v>
      </c>
      <c r="E22" s="17" t="s">
        <v>14</v>
      </c>
      <c r="F22" s="18" t="s">
        <v>269</v>
      </c>
      <c r="G22" s="18" t="s">
        <v>83</v>
      </c>
      <c r="H22" s="18"/>
      <c r="I22" s="18"/>
      <c r="J22" s="19"/>
      <c r="K22" s="20"/>
    </row>
    <row r="23" spans="1:11" ht="15" x14ac:dyDescent="0.25">
      <c r="A23" s="17" t="s">
        <v>64</v>
      </c>
      <c r="B23" s="17" t="s">
        <v>263</v>
      </c>
      <c r="C23" s="17" t="s">
        <v>63</v>
      </c>
      <c r="D23" s="17" t="s">
        <v>65</v>
      </c>
      <c r="E23" s="17" t="s">
        <v>27</v>
      </c>
      <c r="F23" s="18" t="s">
        <v>269</v>
      </c>
      <c r="G23" s="18" t="s">
        <v>303</v>
      </c>
      <c r="H23" s="18"/>
      <c r="I23" s="18" t="s">
        <v>304</v>
      </c>
      <c r="J23" s="19"/>
      <c r="K23" s="20"/>
    </row>
    <row r="24" spans="1:11" ht="15" x14ac:dyDescent="0.25">
      <c r="A24" s="17" t="s">
        <v>64</v>
      </c>
      <c r="B24" s="17" t="s">
        <v>263</v>
      </c>
      <c r="C24" s="17" t="s">
        <v>37</v>
      </c>
      <c r="D24" s="17" t="s">
        <v>66</v>
      </c>
      <c r="E24" s="17" t="s">
        <v>27</v>
      </c>
      <c r="F24" s="18" t="s">
        <v>269</v>
      </c>
      <c r="G24" s="18" t="s">
        <v>67</v>
      </c>
      <c r="H24" s="18"/>
      <c r="I24" s="18"/>
      <c r="J24" s="19"/>
      <c r="K24" s="20"/>
    </row>
    <row r="25" spans="1:11" ht="15" x14ac:dyDescent="0.25">
      <c r="A25" s="17" t="s">
        <v>64</v>
      </c>
      <c r="B25" s="17" t="s">
        <v>264</v>
      </c>
      <c r="C25" s="17" t="s">
        <v>68</v>
      </c>
      <c r="D25" s="17" t="s">
        <v>69</v>
      </c>
      <c r="E25" s="17" t="s">
        <v>27</v>
      </c>
      <c r="F25" s="18" t="s">
        <v>269</v>
      </c>
      <c r="G25" s="18" t="s">
        <v>70</v>
      </c>
      <c r="H25" s="18"/>
      <c r="I25" s="18"/>
      <c r="J25" s="19"/>
      <c r="K25" s="20"/>
    </row>
    <row r="26" spans="1:11" ht="15" x14ac:dyDescent="0.25">
      <c r="A26" s="17" t="s">
        <v>64</v>
      </c>
      <c r="B26" s="17" t="s">
        <v>264</v>
      </c>
      <c r="C26" s="17" t="s">
        <v>71</v>
      </c>
      <c r="D26" s="17" t="s">
        <v>72</v>
      </c>
      <c r="E26" s="17" t="s">
        <v>27</v>
      </c>
      <c r="F26" s="18" t="s">
        <v>269</v>
      </c>
      <c r="G26" s="18" t="s">
        <v>73</v>
      </c>
      <c r="H26" s="18"/>
      <c r="I26" s="18"/>
      <c r="J26" s="19"/>
      <c r="K26" s="20"/>
    </row>
    <row r="27" spans="1:11" ht="15" x14ac:dyDescent="0.25">
      <c r="A27" s="17" t="s">
        <v>64</v>
      </c>
      <c r="B27" s="17" t="s">
        <v>265</v>
      </c>
      <c r="C27" s="17" t="s">
        <v>53</v>
      </c>
      <c r="D27" s="17" t="s">
        <v>74</v>
      </c>
      <c r="E27" s="17" t="s">
        <v>27</v>
      </c>
      <c r="F27" s="18" t="s">
        <v>269</v>
      </c>
      <c r="G27" s="18" t="s">
        <v>75</v>
      </c>
      <c r="H27" s="18"/>
      <c r="I27" s="18"/>
      <c r="J27" s="19"/>
      <c r="K27" s="20"/>
    </row>
    <row r="28" spans="1:11" ht="15" x14ac:dyDescent="0.25">
      <c r="A28" s="17" t="s">
        <v>64</v>
      </c>
      <c r="B28" s="17" t="s">
        <v>265</v>
      </c>
      <c r="C28" s="17" t="s">
        <v>76</v>
      </c>
      <c r="D28" s="17" t="s">
        <v>77</v>
      </c>
      <c r="E28" s="17" t="s">
        <v>27</v>
      </c>
      <c r="F28" s="18" t="s">
        <v>269</v>
      </c>
      <c r="G28" s="18" t="s">
        <v>78</v>
      </c>
      <c r="H28" s="18"/>
      <c r="I28" s="18"/>
      <c r="J28" s="19"/>
      <c r="K28" s="20"/>
    </row>
    <row r="29" spans="1:11" ht="15" x14ac:dyDescent="0.25">
      <c r="A29" s="17" t="s">
        <v>64</v>
      </c>
      <c r="B29" s="17" t="s">
        <v>265</v>
      </c>
      <c r="C29" s="17" t="s">
        <v>15</v>
      </c>
      <c r="D29" s="17" t="s">
        <v>79</v>
      </c>
      <c r="E29" s="17" t="s">
        <v>10</v>
      </c>
      <c r="F29" s="18" t="s">
        <v>269</v>
      </c>
      <c r="G29" s="18" t="s">
        <v>80</v>
      </c>
      <c r="H29" s="18"/>
      <c r="I29" s="18"/>
      <c r="J29" s="19"/>
      <c r="K29" s="20"/>
    </row>
    <row r="30" spans="1:11" ht="15" x14ac:dyDescent="0.25">
      <c r="A30" s="17" t="s">
        <v>25</v>
      </c>
      <c r="B30" s="17" t="s">
        <v>263</v>
      </c>
      <c r="C30" s="17" t="s">
        <v>18</v>
      </c>
      <c r="D30" s="17" t="s">
        <v>26</v>
      </c>
      <c r="E30" s="17" t="s">
        <v>27</v>
      </c>
      <c r="F30" s="18" t="s">
        <v>269</v>
      </c>
      <c r="G30" s="18" t="s">
        <v>305</v>
      </c>
      <c r="H30" s="18" t="s">
        <v>306</v>
      </c>
      <c r="I30" s="18"/>
      <c r="J30" s="19"/>
      <c r="K30" s="20"/>
    </row>
    <row r="31" spans="1:11" ht="15" x14ac:dyDescent="0.25">
      <c r="A31" s="17" t="s">
        <v>25</v>
      </c>
      <c r="B31" s="17" t="s">
        <v>265</v>
      </c>
      <c r="C31" s="17" t="s">
        <v>15</v>
      </c>
      <c r="D31" s="17" t="s">
        <v>30</v>
      </c>
      <c r="E31" s="17" t="s">
        <v>27</v>
      </c>
      <c r="F31" s="18" t="s">
        <v>269</v>
      </c>
      <c r="G31" s="18" t="s">
        <v>31</v>
      </c>
      <c r="H31" s="18" t="s">
        <v>307</v>
      </c>
      <c r="I31" s="18"/>
      <c r="J31" s="19"/>
      <c r="K31" s="20"/>
    </row>
    <row r="32" spans="1:11" ht="15" x14ac:dyDescent="0.25">
      <c r="A32" s="17" t="s">
        <v>25</v>
      </c>
      <c r="B32" s="17" t="s">
        <v>262</v>
      </c>
      <c r="C32" s="17" t="s">
        <v>11</v>
      </c>
      <c r="D32" s="17" t="s">
        <v>28</v>
      </c>
      <c r="E32" s="17" t="s">
        <v>27</v>
      </c>
      <c r="F32" s="18" t="s">
        <v>269</v>
      </c>
      <c r="G32" s="18" t="s">
        <v>29</v>
      </c>
      <c r="H32" s="18" t="s">
        <v>308</v>
      </c>
      <c r="I32" s="18"/>
      <c r="J32" s="19"/>
      <c r="K32" s="20"/>
    </row>
    <row r="33" spans="1:11" ht="15" x14ac:dyDescent="0.25">
      <c r="A33" s="17" t="s">
        <v>25</v>
      </c>
      <c r="B33" s="17" t="s">
        <v>265</v>
      </c>
      <c r="C33" s="17" t="s">
        <v>32</v>
      </c>
      <c r="D33" s="17" t="s">
        <v>33</v>
      </c>
      <c r="E33" s="17" t="s">
        <v>27</v>
      </c>
      <c r="F33" s="18" t="s">
        <v>269</v>
      </c>
      <c r="G33" s="18" t="s">
        <v>34</v>
      </c>
      <c r="H33" s="18" t="s">
        <v>309</v>
      </c>
      <c r="I33" s="18"/>
      <c r="J33" s="19"/>
      <c r="K33" s="20"/>
    </row>
    <row r="34" spans="1:11" ht="15" x14ac:dyDescent="0.25">
      <c r="A34" s="17" t="s">
        <v>35</v>
      </c>
      <c r="B34" s="17" t="s">
        <v>263</v>
      </c>
      <c r="C34" s="17" t="s">
        <v>18</v>
      </c>
      <c r="D34" s="17" t="s">
        <v>36</v>
      </c>
      <c r="E34" s="17" t="s">
        <v>27</v>
      </c>
      <c r="F34" s="18" t="s">
        <v>269</v>
      </c>
      <c r="G34" s="18"/>
      <c r="H34" s="18" t="s">
        <v>310</v>
      </c>
      <c r="I34" s="18"/>
      <c r="J34" s="19"/>
      <c r="K34" s="20"/>
    </row>
    <row r="35" spans="1:11" ht="15" x14ac:dyDescent="0.25">
      <c r="A35" s="17" t="s">
        <v>47</v>
      </c>
      <c r="B35" s="17" t="s">
        <v>263</v>
      </c>
      <c r="C35" s="17" t="s">
        <v>18</v>
      </c>
      <c r="D35" s="17" t="s">
        <v>48</v>
      </c>
      <c r="E35" s="17" t="s">
        <v>27</v>
      </c>
      <c r="F35" s="18" t="s">
        <v>269</v>
      </c>
      <c r="G35" s="18"/>
      <c r="H35" s="18" t="s">
        <v>311</v>
      </c>
      <c r="I35" s="18"/>
      <c r="J35" s="19"/>
      <c r="K35" s="20"/>
    </row>
    <row r="36" spans="1:11" ht="15" x14ac:dyDescent="0.25">
      <c r="A36" s="17" t="s">
        <v>47</v>
      </c>
      <c r="B36" s="17" t="s">
        <v>262</v>
      </c>
      <c r="C36" s="17" t="s">
        <v>11</v>
      </c>
      <c r="D36" s="17" t="s">
        <v>52</v>
      </c>
      <c r="E36" s="17" t="s">
        <v>14</v>
      </c>
      <c r="F36" s="18" t="s">
        <v>269</v>
      </c>
      <c r="G36" s="18" t="s">
        <v>312</v>
      </c>
      <c r="H36" s="18" t="s">
        <v>313</v>
      </c>
      <c r="I36" s="18"/>
      <c r="J36" s="19"/>
      <c r="K36" s="20"/>
    </row>
    <row r="37" spans="1:11" ht="15" x14ac:dyDescent="0.25">
      <c r="A37" s="17" t="s">
        <v>47</v>
      </c>
      <c r="B37" s="17" t="s">
        <v>266</v>
      </c>
      <c r="C37" s="17" t="s">
        <v>49</v>
      </c>
      <c r="D37" s="17" t="s">
        <v>50</v>
      </c>
      <c r="E37" s="17" t="s">
        <v>27</v>
      </c>
      <c r="F37" s="18" t="s">
        <v>297</v>
      </c>
      <c r="G37" s="18" t="s">
        <v>51</v>
      </c>
      <c r="H37" s="18" t="s">
        <v>314</v>
      </c>
      <c r="I37" s="18"/>
      <c r="J37" s="19"/>
      <c r="K37" s="20"/>
    </row>
    <row r="38" spans="1:11" ht="15" x14ac:dyDescent="0.25">
      <c r="A38" s="17" t="s">
        <v>47</v>
      </c>
      <c r="B38" s="17" t="s">
        <v>265</v>
      </c>
      <c r="C38" s="17" t="s">
        <v>53</v>
      </c>
      <c r="D38" s="17" t="s">
        <v>54</v>
      </c>
      <c r="E38" s="17" t="s">
        <v>14</v>
      </c>
      <c r="F38" s="18" t="s">
        <v>269</v>
      </c>
      <c r="G38" s="18"/>
      <c r="H38" s="18" t="s">
        <v>315</v>
      </c>
      <c r="I38" s="18"/>
      <c r="J38" s="19"/>
      <c r="K38" s="20"/>
    </row>
    <row r="39" spans="1:11" ht="15" x14ac:dyDescent="0.25">
      <c r="A39" s="17" t="s">
        <v>47</v>
      </c>
      <c r="B39" s="17" t="s">
        <v>265</v>
      </c>
      <c r="C39" s="17" t="s">
        <v>15</v>
      </c>
      <c r="D39" s="18" t="s">
        <v>55</v>
      </c>
      <c r="E39" s="17" t="s">
        <v>27</v>
      </c>
      <c r="F39" s="18" t="s">
        <v>269</v>
      </c>
      <c r="G39" s="18" t="s">
        <v>56</v>
      </c>
      <c r="H39" s="18" t="s">
        <v>316</v>
      </c>
      <c r="I39" s="18"/>
      <c r="J39" s="19"/>
      <c r="K39" s="20"/>
    </row>
    <row r="40" spans="1:11" ht="15" x14ac:dyDescent="0.25">
      <c r="A40" s="17" t="s">
        <v>43</v>
      </c>
      <c r="B40" s="17" t="s">
        <v>263</v>
      </c>
      <c r="C40" s="17" t="s">
        <v>37</v>
      </c>
      <c r="D40" s="17" t="s">
        <v>44</v>
      </c>
      <c r="E40" s="17" t="s">
        <v>14</v>
      </c>
      <c r="F40" s="18" t="s">
        <v>269</v>
      </c>
      <c r="G40" s="18" t="s">
        <v>45</v>
      </c>
      <c r="H40" s="18" t="s">
        <v>317</v>
      </c>
      <c r="I40" s="18"/>
      <c r="J40" s="19"/>
      <c r="K40" s="20"/>
    </row>
    <row r="41" spans="1:11" ht="15" x14ac:dyDescent="0.25">
      <c r="A41" s="17" t="s">
        <v>43</v>
      </c>
      <c r="B41" s="17" t="s">
        <v>266</v>
      </c>
      <c r="C41" s="17" t="s">
        <v>6</v>
      </c>
      <c r="D41" s="18" t="s">
        <v>46</v>
      </c>
      <c r="E41" s="17" t="s">
        <v>27</v>
      </c>
      <c r="F41" s="18" t="s">
        <v>269</v>
      </c>
      <c r="G41" s="18" t="s">
        <v>318</v>
      </c>
      <c r="H41" s="18" t="s">
        <v>319</v>
      </c>
      <c r="I41" s="18"/>
      <c r="J41" s="19"/>
      <c r="K41" s="20"/>
    </row>
    <row r="42" spans="1:11" ht="15" x14ac:dyDescent="0.25">
      <c r="A42" s="17" t="s">
        <v>38</v>
      </c>
      <c r="B42" s="17" t="s">
        <v>263</v>
      </c>
      <c r="C42" s="17" t="s">
        <v>37</v>
      </c>
      <c r="D42" s="17" t="s">
        <v>39</v>
      </c>
      <c r="E42" s="17" t="s">
        <v>27</v>
      </c>
      <c r="F42" s="18" t="s">
        <v>269</v>
      </c>
      <c r="G42" s="18" t="s">
        <v>40</v>
      </c>
      <c r="H42" s="18" t="s">
        <v>320</v>
      </c>
      <c r="I42" s="18"/>
      <c r="J42" s="19"/>
      <c r="K42" s="20"/>
    </row>
    <row r="43" spans="1:11" ht="15" x14ac:dyDescent="0.25">
      <c r="A43" s="17" t="s">
        <v>38</v>
      </c>
      <c r="B43" s="17" t="s">
        <v>262</v>
      </c>
      <c r="C43" s="17" t="s">
        <v>11</v>
      </c>
      <c r="D43" s="18" t="s">
        <v>41</v>
      </c>
      <c r="E43" s="17" t="s">
        <v>14</v>
      </c>
      <c r="F43" s="18" t="s">
        <v>269</v>
      </c>
      <c r="G43" s="18" t="s">
        <v>42</v>
      </c>
      <c r="H43" s="18" t="s">
        <v>321</v>
      </c>
      <c r="I43" s="18"/>
      <c r="J43" s="19"/>
      <c r="K43" s="20"/>
    </row>
    <row r="44" spans="1:11" ht="15" x14ac:dyDescent="0.25">
      <c r="A44" s="17" t="s">
        <v>162</v>
      </c>
      <c r="B44" s="17" t="s">
        <v>263</v>
      </c>
      <c r="C44" s="17" t="s">
        <v>18</v>
      </c>
      <c r="D44" s="17" t="s">
        <v>163</v>
      </c>
      <c r="E44" s="17" t="s">
        <v>27</v>
      </c>
      <c r="F44" s="18" t="s">
        <v>269</v>
      </c>
      <c r="G44" s="18"/>
      <c r="H44" s="18"/>
      <c r="I44" s="18" t="s">
        <v>322</v>
      </c>
      <c r="J44" s="19"/>
      <c r="K44" s="20"/>
    </row>
    <row r="45" spans="1:11" ht="15" x14ac:dyDescent="0.25">
      <c r="A45" s="17" t="s">
        <v>162</v>
      </c>
      <c r="B45" s="17" t="s">
        <v>263</v>
      </c>
      <c r="C45" s="17" t="s">
        <v>37</v>
      </c>
      <c r="D45" s="17" t="s">
        <v>164</v>
      </c>
      <c r="E45" s="17" t="s">
        <v>27</v>
      </c>
      <c r="F45" s="18" t="s">
        <v>269</v>
      </c>
      <c r="G45" s="18" t="s">
        <v>165</v>
      </c>
      <c r="H45" s="18" t="s">
        <v>323</v>
      </c>
      <c r="I45" s="18" t="s">
        <v>324</v>
      </c>
      <c r="J45" s="19"/>
      <c r="K45" s="20"/>
    </row>
    <row r="46" spans="1:11" ht="15" x14ac:dyDescent="0.25">
      <c r="A46" s="17" t="s">
        <v>162</v>
      </c>
      <c r="B46" s="17" t="s">
        <v>262</v>
      </c>
      <c r="C46" s="17" t="s">
        <v>11</v>
      </c>
      <c r="D46" s="17" t="s">
        <v>170</v>
      </c>
      <c r="E46" s="17" t="s">
        <v>14</v>
      </c>
      <c r="F46" s="18" t="s">
        <v>269</v>
      </c>
      <c r="G46" s="18" t="s">
        <v>171</v>
      </c>
      <c r="H46" s="18" t="s">
        <v>325</v>
      </c>
      <c r="I46" s="18" t="s">
        <v>322</v>
      </c>
      <c r="J46" s="19"/>
      <c r="K46" s="20"/>
    </row>
    <row r="47" spans="1:11" ht="15" x14ac:dyDescent="0.25">
      <c r="A47" s="17" t="s">
        <v>162</v>
      </c>
      <c r="B47" s="17" t="s">
        <v>266</v>
      </c>
      <c r="C47" s="17" t="s">
        <v>6</v>
      </c>
      <c r="D47" s="17" t="s">
        <v>168</v>
      </c>
      <c r="E47" s="17" t="s">
        <v>27</v>
      </c>
      <c r="F47" s="18" t="s">
        <v>297</v>
      </c>
      <c r="G47" s="18" t="s">
        <v>169</v>
      </c>
      <c r="H47" s="18" t="s">
        <v>326</v>
      </c>
      <c r="I47" s="18"/>
      <c r="J47" s="19"/>
      <c r="K47" s="20"/>
    </row>
    <row r="48" spans="1:11" ht="15" x14ac:dyDescent="0.25">
      <c r="A48" s="17" t="s">
        <v>162</v>
      </c>
      <c r="B48" s="17" t="s">
        <v>264</v>
      </c>
      <c r="C48" s="17" t="s">
        <v>22</v>
      </c>
      <c r="D48" s="17" t="s">
        <v>172</v>
      </c>
      <c r="E48" s="17" t="s">
        <v>14</v>
      </c>
      <c r="F48" s="18" t="s">
        <v>269</v>
      </c>
      <c r="G48" s="18" t="s">
        <v>173</v>
      </c>
      <c r="H48" s="18" t="s">
        <v>327</v>
      </c>
      <c r="I48" s="18" t="s">
        <v>328</v>
      </c>
      <c r="J48" s="19"/>
      <c r="K48" s="20"/>
    </row>
    <row r="49" spans="1:11" ht="15" x14ac:dyDescent="0.25">
      <c r="A49" s="17" t="s">
        <v>162</v>
      </c>
      <c r="B49" s="17" t="s">
        <v>265</v>
      </c>
      <c r="C49" s="17" t="s">
        <v>53</v>
      </c>
      <c r="D49" s="17" t="s">
        <v>174</v>
      </c>
      <c r="E49" s="17" t="s">
        <v>27</v>
      </c>
      <c r="F49" s="18" t="s">
        <v>269</v>
      </c>
      <c r="G49" s="18" t="s">
        <v>175</v>
      </c>
      <c r="H49" s="18"/>
      <c r="I49" s="18" t="s">
        <v>329</v>
      </c>
      <c r="J49" s="19"/>
      <c r="K49" s="20"/>
    </row>
    <row r="50" spans="1:11" ht="15" x14ac:dyDescent="0.25">
      <c r="A50" s="17" t="s">
        <v>162</v>
      </c>
      <c r="B50" s="17" t="s">
        <v>265</v>
      </c>
      <c r="C50" s="17" t="s">
        <v>176</v>
      </c>
      <c r="D50" s="17" t="s">
        <v>330</v>
      </c>
      <c r="E50" s="17" t="s">
        <v>27</v>
      </c>
      <c r="F50" s="18" t="s">
        <v>269</v>
      </c>
      <c r="G50" s="18" t="s">
        <v>177</v>
      </c>
      <c r="H50" s="18" t="s">
        <v>331</v>
      </c>
      <c r="I50" s="18" t="s">
        <v>332</v>
      </c>
      <c r="J50" s="19"/>
      <c r="K50" s="20"/>
    </row>
    <row r="51" spans="1:11" ht="15" x14ac:dyDescent="0.25">
      <c r="A51" s="17" t="s">
        <v>162</v>
      </c>
      <c r="B51" s="17" t="s">
        <v>265</v>
      </c>
      <c r="C51" s="17" t="s">
        <v>76</v>
      </c>
      <c r="D51" s="18" t="s">
        <v>178</v>
      </c>
      <c r="E51" s="17" t="s">
        <v>27</v>
      </c>
      <c r="F51" s="18" t="s">
        <v>269</v>
      </c>
      <c r="G51" s="18" t="s">
        <v>333</v>
      </c>
      <c r="H51" s="18" t="s">
        <v>334</v>
      </c>
      <c r="I51" s="18" t="s">
        <v>335</v>
      </c>
      <c r="J51" s="19"/>
      <c r="K51" s="20"/>
    </row>
    <row r="52" spans="1:11" ht="15" x14ac:dyDescent="0.25">
      <c r="A52" s="17" t="s">
        <v>162</v>
      </c>
      <c r="B52" s="17" t="s">
        <v>265</v>
      </c>
      <c r="C52" s="17" t="s">
        <v>32</v>
      </c>
      <c r="D52" s="17" t="s">
        <v>181</v>
      </c>
      <c r="E52" s="17" t="s">
        <v>27</v>
      </c>
      <c r="F52" s="18" t="s">
        <v>269</v>
      </c>
      <c r="G52" s="18"/>
      <c r="H52" s="18"/>
      <c r="I52" s="18" t="s">
        <v>329</v>
      </c>
      <c r="J52" s="19"/>
      <c r="K52" s="20"/>
    </row>
    <row r="53" spans="1:11" ht="15" x14ac:dyDescent="0.25">
      <c r="A53" s="17" t="s">
        <v>162</v>
      </c>
      <c r="B53" s="17" t="s">
        <v>265</v>
      </c>
      <c r="C53" s="17" t="s">
        <v>15</v>
      </c>
      <c r="D53" s="17" t="s">
        <v>179</v>
      </c>
      <c r="E53" s="17" t="s">
        <v>14</v>
      </c>
      <c r="F53" s="18" t="s">
        <v>269</v>
      </c>
      <c r="G53" s="18" t="s">
        <v>180</v>
      </c>
      <c r="H53" s="18" t="s">
        <v>336</v>
      </c>
      <c r="I53" s="18" t="s">
        <v>337</v>
      </c>
      <c r="J53" s="19"/>
      <c r="K53" s="20"/>
    </row>
    <row r="54" spans="1:11" ht="15" x14ac:dyDescent="0.25">
      <c r="A54" s="17" t="s">
        <v>162</v>
      </c>
      <c r="B54" s="17" t="s">
        <v>266</v>
      </c>
      <c r="C54" s="17" t="s">
        <v>49</v>
      </c>
      <c r="D54" s="17" t="s">
        <v>166</v>
      </c>
      <c r="E54" s="17" t="s">
        <v>27</v>
      </c>
      <c r="F54" s="18" t="s">
        <v>269</v>
      </c>
      <c r="G54" s="18"/>
      <c r="H54" s="18"/>
      <c r="I54" s="18" t="s">
        <v>338</v>
      </c>
      <c r="J54" s="19"/>
      <c r="K54" s="20"/>
    </row>
    <row r="55" spans="1:11" ht="15" x14ac:dyDescent="0.25">
      <c r="A55" s="17" t="s">
        <v>97</v>
      </c>
      <c r="B55" s="17" t="s">
        <v>263</v>
      </c>
      <c r="C55" s="17" t="s">
        <v>96</v>
      </c>
      <c r="D55" s="17" t="s">
        <v>98</v>
      </c>
      <c r="E55" s="17" t="s">
        <v>27</v>
      </c>
      <c r="F55" s="18" t="s">
        <v>269</v>
      </c>
      <c r="G55" s="18" t="s">
        <v>99</v>
      </c>
      <c r="H55" s="18" t="s">
        <v>339</v>
      </c>
      <c r="I55" s="18"/>
      <c r="J55" s="19"/>
      <c r="K55" s="20"/>
    </row>
    <row r="56" spans="1:11" ht="15" x14ac:dyDescent="0.25">
      <c r="A56" s="17" t="s">
        <v>97</v>
      </c>
      <c r="B56" s="17" t="s">
        <v>262</v>
      </c>
      <c r="C56" s="17" t="s">
        <v>11</v>
      </c>
      <c r="D56" s="17" t="s">
        <v>102</v>
      </c>
      <c r="E56" s="17" t="s">
        <v>14</v>
      </c>
      <c r="F56" s="18" t="s">
        <v>269</v>
      </c>
      <c r="G56" s="18" t="s">
        <v>103</v>
      </c>
      <c r="H56" s="18" t="s">
        <v>340</v>
      </c>
      <c r="I56" s="18"/>
      <c r="J56" s="19"/>
      <c r="K56" s="20"/>
    </row>
    <row r="57" spans="1:11" ht="15" x14ac:dyDescent="0.25">
      <c r="A57" s="17" t="s">
        <v>97</v>
      </c>
      <c r="B57" s="17" t="s">
        <v>266</v>
      </c>
      <c r="C57" s="17" t="s">
        <v>6</v>
      </c>
      <c r="D57" s="17" t="s">
        <v>100</v>
      </c>
      <c r="E57" s="17" t="s">
        <v>10</v>
      </c>
      <c r="F57" s="18" t="s">
        <v>269</v>
      </c>
      <c r="G57" s="18"/>
      <c r="H57" s="18"/>
      <c r="I57" s="18"/>
      <c r="J57" s="19"/>
      <c r="K57" s="20"/>
    </row>
    <row r="58" spans="1:11" ht="15" x14ac:dyDescent="0.25">
      <c r="A58" s="17" t="s">
        <v>97</v>
      </c>
      <c r="B58" s="17" t="s">
        <v>265</v>
      </c>
      <c r="C58" s="17" t="s">
        <v>53</v>
      </c>
      <c r="D58" s="18" t="s">
        <v>104</v>
      </c>
      <c r="E58" s="17" t="s">
        <v>27</v>
      </c>
      <c r="F58" s="18" t="s">
        <v>269</v>
      </c>
      <c r="G58" s="18" t="s">
        <v>105</v>
      </c>
      <c r="H58" s="18" t="s">
        <v>341</v>
      </c>
      <c r="I58" s="18"/>
      <c r="J58" s="19"/>
      <c r="K58" s="20"/>
    </row>
    <row r="59" spans="1:11" ht="15" x14ac:dyDescent="0.25">
      <c r="A59" s="17" t="s">
        <v>97</v>
      </c>
      <c r="B59" s="17" t="s">
        <v>265</v>
      </c>
      <c r="C59" s="17" t="s">
        <v>15</v>
      </c>
      <c r="D59" s="17" t="s">
        <v>106</v>
      </c>
      <c r="E59" s="17" t="s">
        <v>14</v>
      </c>
      <c r="F59" s="18" t="s">
        <v>269</v>
      </c>
      <c r="G59" s="18" t="s">
        <v>107</v>
      </c>
      <c r="H59" s="18" t="s">
        <v>342</v>
      </c>
      <c r="I59" s="18"/>
      <c r="J59" s="19"/>
      <c r="K59" s="20"/>
    </row>
    <row r="60" spans="1:11" ht="15" x14ac:dyDescent="0.25">
      <c r="A60" s="17" t="s">
        <v>108</v>
      </c>
      <c r="B60" s="17" t="s">
        <v>267</v>
      </c>
      <c r="C60" s="17" t="s">
        <v>113</v>
      </c>
      <c r="D60" s="17" t="s">
        <v>114</v>
      </c>
      <c r="E60" s="17" t="s">
        <v>14</v>
      </c>
      <c r="F60" s="18" t="s">
        <v>297</v>
      </c>
      <c r="G60" s="18" t="s">
        <v>115</v>
      </c>
      <c r="H60" s="18" t="s">
        <v>343</v>
      </c>
      <c r="I60" s="18" t="s">
        <v>344</v>
      </c>
      <c r="J60" s="19"/>
      <c r="K60" s="20"/>
    </row>
    <row r="61" spans="1:11" ht="15" x14ac:dyDescent="0.25">
      <c r="A61" s="17" t="s">
        <v>108</v>
      </c>
      <c r="B61" s="17" t="s">
        <v>263</v>
      </c>
      <c r="C61" s="17" t="s">
        <v>18</v>
      </c>
      <c r="D61" s="17" t="s">
        <v>109</v>
      </c>
      <c r="E61" s="17" t="s">
        <v>27</v>
      </c>
      <c r="F61" s="18" t="s">
        <v>269</v>
      </c>
      <c r="G61" s="18" t="s">
        <v>110</v>
      </c>
      <c r="H61" s="18" t="s">
        <v>345</v>
      </c>
      <c r="I61" s="18" t="s">
        <v>344</v>
      </c>
      <c r="J61" s="19"/>
      <c r="K61" s="20"/>
    </row>
    <row r="62" spans="1:11" ht="15" x14ac:dyDescent="0.25">
      <c r="A62" s="17" t="s">
        <v>108</v>
      </c>
      <c r="B62" s="17" t="s">
        <v>262</v>
      </c>
      <c r="C62" s="17" t="s">
        <v>11</v>
      </c>
      <c r="D62" s="17" t="s">
        <v>112</v>
      </c>
      <c r="E62" s="17" t="s">
        <v>14</v>
      </c>
      <c r="F62" s="18" t="s">
        <v>297</v>
      </c>
      <c r="G62" s="18" t="s">
        <v>346</v>
      </c>
      <c r="H62" s="18" t="s">
        <v>347</v>
      </c>
      <c r="I62" s="18" t="s">
        <v>344</v>
      </c>
      <c r="J62" s="19"/>
      <c r="K62" s="20"/>
    </row>
    <row r="63" spans="1:11" ht="15" x14ac:dyDescent="0.25">
      <c r="A63" s="17" t="s">
        <v>108</v>
      </c>
      <c r="B63" s="17" t="s">
        <v>266</v>
      </c>
      <c r="C63" s="17" t="s">
        <v>6</v>
      </c>
      <c r="D63" s="18" t="s">
        <v>111</v>
      </c>
      <c r="E63" s="17" t="s">
        <v>10</v>
      </c>
      <c r="F63" s="18" t="s">
        <v>297</v>
      </c>
      <c r="G63" s="18" t="s">
        <v>101</v>
      </c>
      <c r="H63" s="18" t="s">
        <v>348</v>
      </c>
      <c r="I63" s="18"/>
      <c r="J63" s="19"/>
      <c r="K63" s="20"/>
    </row>
    <row r="64" spans="1:11" ht="15" x14ac:dyDescent="0.25">
      <c r="A64" s="17" t="s">
        <v>125</v>
      </c>
      <c r="B64" s="17" t="s">
        <v>262</v>
      </c>
      <c r="C64" s="17" t="s">
        <v>11</v>
      </c>
      <c r="D64" s="18" t="s">
        <v>126</v>
      </c>
      <c r="E64" s="17" t="s">
        <v>14</v>
      </c>
      <c r="F64" s="18" t="s">
        <v>297</v>
      </c>
      <c r="G64" s="18" t="s">
        <v>127</v>
      </c>
      <c r="H64" s="18" t="s">
        <v>349</v>
      </c>
      <c r="I64" s="18"/>
      <c r="J64" s="19"/>
      <c r="K64" s="20"/>
    </row>
    <row r="65" spans="1:11" ht="15" x14ac:dyDescent="0.25">
      <c r="A65" s="17" t="s">
        <v>93</v>
      </c>
      <c r="B65" s="17" t="s">
        <v>262</v>
      </c>
      <c r="C65" s="17" t="s">
        <v>11</v>
      </c>
      <c r="D65" s="17" t="s">
        <v>94</v>
      </c>
      <c r="E65" s="17" t="s">
        <v>27</v>
      </c>
      <c r="F65" s="18" t="s">
        <v>269</v>
      </c>
      <c r="G65" s="18" t="s">
        <v>350</v>
      </c>
      <c r="H65" s="18"/>
      <c r="I65" s="18" t="s">
        <v>351</v>
      </c>
      <c r="J65" s="19"/>
      <c r="K65" s="20"/>
    </row>
    <row r="66" spans="1:11" ht="15" x14ac:dyDescent="0.25">
      <c r="A66" s="17" t="s">
        <v>93</v>
      </c>
      <c r="B66" s="17" t="s">
        <v>265</v>
      </c>
      <c r="C66" s="17" t="s">
        <v>15</v>
      </c>
      <c r="D66" s="18" t="s">
        <v>95</v>
      </c>
      <c r="E66" s="17" t="s">
        <v>27</v>
      </c>
      <c r="F66" s="18" t="s">
        <v>269</v>
      </c>
      <c r="G66" s="18" t="s">
        <v>352</v>
      </c>
      <c r="H66" s="18"/>
      <c r="I66" s="18" t="s">
        <v>351</v>
      </c>
      <c r="J66" s="19"/>
      <c r="K66" s="20"/>
    </row>
    <row r="67" spans="1:11" ht="15" x14ac:dyDescent="0.25">
      <c r="A67" s="17" t="s">
        <v>116</v>
      </c>
      <c r="B67" s="17" t="s">
        <v>263</v>
      </c>
      <c r="C67" s="17" t="s">
        <v>96</v>
      </c>
      <c r="D67" s="17" t="s">
        <v>118</v>
      </c>
      <c r="E67" s="17" t="s">
        <v>14</v>
      </c>
      <c r="F67" s="18" t="s">
        <v>269</v>
      </c>
      <c r="G67" s="18" t="s">
        <v>117</v>
      </c>
      <c r="H67" s="18"/>
      <c r="I67" s="18"/>
      <c r="J67" s="19"/>
      <c r="K67" s="20"/>
    </row>
    <row r="68" spans="1:11" ht="15" x14ac:dyDescent="0.25">
      <c r="A68" s="17" t="s">
        <v>116</v>
      </c>
      <c r="B68" s="17" t="s">
        <v>263</v>
      </c>
      <c r="C68" s="17" t="s">
        <v>18</v>
      </c>
      <c r="D68" s="17" t="s">
        <v>117</v>
      </c>
      <c r="E68" s="17" t="s">
        <v>27</v>
      </c>
      <c r="F68" s="18" t="s">
        <v>269</v>
      </c>
      <c r="G68" s="18"/>
      <c r="H68" s="18"/>
      <c r="I68" s="18"/>
      <c r="J68" s="19"/>
      <c r="K68" s="20"/>
    </row>
    <row r="69" spans="1:11" ht="15" x14ac:dyDescent="0.25">
      <c r="A69" s="17" t="s">
        <v>116</v>
      </c>
      <c r="B69" s="17" t="s">
        <v>262</v>
      </c>
      <c r="C69" s="17" t="s">
        <v>11</v>
      </c>
      <c r="D69" s="18" t="s">
        <v>353</v>
      </c>
      <c r="E69" s="17" t="s">
        <v>14</v>
      </c>
      <c r="F69" s="18" t="s">
        <v>269</v>
      </c>
      <c r="G69" s="18" t="s">
        <v>121</v>
      </c>
      <c r="H69" s="18"/>
      <c r="I69" s="18"/>
      <c r="J69" s="19"/>
      <c r="K69" s="20"/>
    </row>
    <row r="70" spans="1:11" ht="15" x14ac:dyDescent="0.25">
      <c r="A70" s="17" t="s">
        <v>116</v>
      </c>
      <c r="B70" s="17" t="s">
        <v>266</v>
      </c>
      <c r="C70" s="17" t="s">
        <v>6</v>
      </c>
      <c r="D70" s="18" t="s">
        <v>119</v>
      </c>
      <c r="E70" s="17" t="s">
        <v>14</v>
      </c>
      <c r="F70" s="18" t="s">
        <v>269</v>
      </c>
      <c r="G70" s="18"/>
      <c r="H70" s="18"/>
      <c r="I70" s="18"/>
      <c r="J70" s="19"/>
      <c r="K70" s="20"/>
    </row>
    <row r="71" spans="1:11" ht="15" x14ac:dyDescent="0.25">
      <c r="A71" s="17" t="s">
        <v>116</v>
      </c>
      <c r="B71" s="17" t="s">
        <v>265</v>
      </c>
      <c r="C71" s="17" t="s">
        <v>32</v>
      </c>
      <c r="D71" s="18" t="s">
        <v>123</v>
      </c>
      <c r="E71" s="17" t="s">
        <v>27</v>
      </c>
      <c r="F71" s="18" t="s">
        <v>269</v>
      </c>
      <c r="G71" s="18" t="s">
        <v>124</v>
      </c>
      <c r="H71" s="18"/>
      <c r="I71" s="18"/>
      <c r="J71" s="19"/>
      <c r="K71" s="20"/>
    </row>
    <row r="72" spans="1:11" ht="15" x14ac:dyDescent="0.25">
      <c r="A72" s="17" t="s">
        <v>116</v>
      </c>
      <c r="B72" s="17" t="s">
        <v>264</v>
      </c>
      <c r="C72" s="17" t="s">
        <v>68</v>
      </c>
      <c r="D72" s="17" t="s">
        <v>122</v>
      </c>
      <c r="E72" s="17" t="s">
        <v>14</v>
      </c>
      <c r="F72" s="18" t="s">
        <v>269</v>
      </c>
      <c r="G72" s="18"/>
      <c r="H72" s="18"/>
      <c r="I72" s="18"/>
      <c r="J72" s="19"/>
      <c r="K72" s="20"/>
    </row>
    <row r="73" spans="1:11" ht="15" x14ac:dyDescent="0.25">
      <c r="A73" s="17" t="s">
        <v>128</v>
      </c>
      <c r="B73" s="17" t="s">
        <v>263</v>
      </c>
      <c r="C73" s="17" t="s">
        <v>18</v>
      </c>
      <c r="D73" s="17" t="s">
        <v>129</v>
      </c>
      <c r="E73" s="17" t="s">
        <v>14</v>
      </c>
      <c r="F73" s="18" t="s">
        <v>269</v>
      </c>
      <c r="G73" s="18" t="s">
        <v>130</v>
      </c>
      <c r="H73" s="18" t="s">
        <v>354</v>
      </c>
      <c r="I73" s="18"/>
      <c r="J73" s="19"/>
      <c r="K73" s="20"/>
    </row>
    <row r="74" spans="1:11" ht="15" x14ac:dyDescent="0.25">
      <c r="A74" s="17" t="s">
        <v>128</v>
      </c>
      <c r="B74" s="17" t="s">
        <v>262</v>
      </c>
      <c r="C74" s="17" t="s">
        <v>11</v>
      </c>
      <c r="D74" s="17" t="s">
        <v>133</v>
      </c>
      <c r="E74" s="17" t="s">
        <v>14</v>
      </c>
      <c r="F74" s="18" t="s">
        <v>269</v>
      </c>
      <c r="G74" s="18" t="s">
        <v>134</v>
      </c>
      <c r="H74" s="18"/>
      <c r="I74" s="18"/>
      <c r="J74" s="19"/>
      <c r="K74" s="20"/>
    </row>
    <row r="75" spans="1:11" ht="15" x14ac:dyDescent="0.25">
      <c r="A75" s="17" t="s">
        <v>128</v>
      </c>
      <c r="B75" s="17" t="s">
        <v>266</v>
      </c>
      <c r="C75" s="17" t="s">
        <v>6</v>
      </c>
      <c r="D75" s="17" t="s">
        <v>132</v>
      </c>
      <c r="E75" s="17" t="s">
        <v>27</v>
      </c>
      <c r="F75" s="18" t="s">
        <v>269</v>
      </c>
      <c r="G75" s="18" t="s">
        <v>120</v>
      </c>
      <c r="H75" s="18"/>
      <c r="I75" s="18"/>
      <c r="J75" s="19"/>
      <c r="K75" s="20"/>
    </row>
    <row r="76" spans="1:11" ht="15" x14ac:dyDescent="0.25">
      <c r="A76" s="17" t="s">
        <v>128</v>
      </c>
      <c r="B76" s="17" t="s">
        <v>264</v>
      </c>
      <c r="C76" s="17" t="s">
        <v>68</v>
      </c>
      <c r="D76" s="18" t="s">
        <v>355</v>
      </c>
      <c r="E76" s="17" t="s">
        <v>14</v>
      </c>
      <c r="F76" s="18" t="s">
        <v>269</v>
      </c>
      <c r="G76" s="18" t="s">
        <v>135</v>
      </c>
      <c r="H76" s="18"/>
      <c r="I76" s="18"/>
      <c r="J76" s="19"/>
      <c r="K76" s="20"/>
    </row>
    <row r="77" spans="1:11" ht="15" x14ac:dyDescent="0.25">
      <c r="A77" s="17" t="s">
        <v>128</v>
      </c>
      <c r="B77" s="17" t="s">
        <v>265</v>
      </c>
      <c r="C77" s="17" t="s">
        <v>137</v>
      </c>
      <c r="D77" s="17" t="s">
        <v>138</v>
      </c>
      <c r="E77" s="17" t="s">
        <v>14</v>
      </c>
      <c r="F77" s="18" t="s">
        <v>269</v>
      </c>
      <c r="G77" s="18"/>
      <c r="H77" s="18"/>
      <c r="I77" s="18"/>
      <c r="J77" s="19"/>
      <c r="K77" s="20"/>
    </row>
    <row r="78" spans="1:11" ht="15" x14ac:dyDescent="0.25">
      <c r="A78" s="17" t="s">
        <v>139</v>
      </c>
      <c r="B78" s="17" t="s">
        <v>265</v>
      </c>
      <c r="C78" s="17" t="s">
        <v>137</v>
      </c>
      <c r="D78" s="18" t="s">
        <v>356</v>
      </c>
      <c r="E78" s="17" t="s">
        <v>14</v>
      </c>
      <c r="F78" s="18" t="s">
        <v>269</v>
      </c>
      <c r="G78" s="18"/>
      <c r="H78" s="18"/>
      <c r="I78" s="18"/>
      <c r="J78" s="19"/>
      <c r="K78" s="20"/>
    </row>
    <row r="79" spans="1:11" ht="15" x14ac:dyDescent="0.25">
      <c r="A79" s="17" t="s">
        <v>139</v>
      </c>
      <c r="B79" s="17" t="s">
        <v>265</v>
      </c>
      <c r="C79" s="17" t="s">
        <v>53</v>
      </c>
      <c r="D79" s="17" t="s">
        <v>357</v>
      </c>
      <c r="E79" s="17" t="s">
        <v>14</v>
      </c>
      <c r="F79" s="18" t="s">
        <v>269</v>
      </c>
      <c r="G79" s="18" t="s">
        <v>140</v>
      </c>
      <c r="H79" s="18"/>
      <c r="I79" s="18"/>
      <c r="J79" s="19"/>
      <c r="K79" s="20"/>
    </row>
    <row r="80" spans="1:11" ht="15" x14ac:dyDescent="0.25">
      <c r="A80" s="17" t="s">
        <v>128</v>
      </c>
      <c r="B80" s="17" t="s">
        <v>265</v>
      </c>
      <c r="C80" s="17" t="s">
        <v>15</v>
      </c>
      <c r="D80" s="17" t="s">
        <v>136</v>
      </c>
      <c r="E80" s="17" t="s">
        <v>27</v>
      </c>
      <c r="F80" s="18" t="s">
        <v>269</v>
      </c>
      <c r="G80" s="18"/>
      <c r="H80" s="18"/>
      <c r="I80" s="18"/>
      <c r="J80" s="19"/>
      <c r="K80" s="20"/>
    </row>
    <row r="81" spans="1:11" ht="15" x14ac:dyDescent="0.25">
      <c r="A81" s="17" t="s">
        <v>128</v>
      </c>
      <c r="B81" s="17" t="s">
        <v>263</v>
      </c>
      <c r="C81" s="17" t="s">
        <v>96</v>
      </c>
      <c r="D81" s="17" t="s">
        <v>131</v>
      </c>
      <c r="E81" s="17" t="s">
        <v>27</v>
      </c>
      <c r="F81" s="18" t="s">
        <v>269</v>
      </c>
      <c r="G81" s="18"/>
      <c r="H81" s="18"/>
      <c r="I81" s="18"/>
      <c r="J81" s="19"/>
      <c r="K81" s="20"/>
    </row>
    <row r="82" spans="1:11" ht="15" x14ac:dyDescent="0.25">
      <c r="A82" s="17" t="s">
        <v>149</v>
      </c>
      <c r="B82" s="17" t="s">
        <v>265</v>
      </c>
      <c r="C82" s="17" t="s">
        <v>32</v>
      </c>
      <c r="D82" s="17" t="s">
        <v>154</v>
      </c>
      <c r="E82" s="17" t="s">
        <v>27</v>
      </c>
      <c r="F82" s="18" t="s">
        <v>297</v>
      </c>
      <c r="G82" s="18" t="s">
        <v>155</v>
      </c>
      <c r="H82" s="18" t="s">
        <v>358</v>
      </c>
      <c r="I82" s="18"/>
      <c r="J82" s="19"/>
      <c r="K82" s="20"/>
    </row>
    <row r="83" spans="1:11" ht="15" x14ac:dyDescent="0.25">
      <c r="A83" s="17" t="s">
        <v>149</v>
      </c>
      <c r="B83" s="17" t="s">
        <v>265</v>
      </c>
      <c r="C83" s="17" t="s">
        <v>76</v>
      </c>
      <c r="D83" s="17" t="s">
        <v>152</v>
      </c>
      <c r="E83" s="17" t="s">
        <v>27</v>
      </c>
      <c r="F83" s="18" t="s">
        <v>297</v>
      </c>
      <c r="G83" s="18" t="s">
        <v>153</v>
      </c>
      <c r="H83" s="18" t="s">
        <v>359</v>
      </c>
      <c r="I83" s="18"/>
      <c r="J83" s="19"/>
      <c r="K83" s="20"/>
    </row>
    <row r="84" spans="1:11" ht="15" x14ac:dyDescent="0.25">
      <c r="A84" s="17" t="s">
        <v>149</v>
      </c>
      <c r="B84" s="17" t="s">
        <v>264</v>
      </c>
      <c r="C84" s="17" t="s">
        <v>22</v>
      </c>
      <c r="D84" s="17" t="s">
        <v>150</v>
      </c>
      <c r="E84" s="17" t="s">
        <v>27</v>
      </c>
      <c r="F84" s="18" t="s">
        <v>297</v>
      </c>
      <c r="G84" s="18" t="s">
        <v>151</v>
      </c>
      <c r="H84" s="18" t="s">
        <v>360</v>
      </c>
      <c r="I84" s="18"/>
      <c r="J84" s="19"/>
      <c r="K84" s="20"/>
    </row>
    <row r="85" spans="1:11" ht="15" x14ac:dyDescent="0.25">
      <c r="A85" s="17" t="s">
        <v>156</v>
      </c>
      <c r="B85" s="17" t="s">
        <v>263</v>
      </c>
      <c r="C85" s="17" t="s">
        <v>63</v>
      </c>
      <c r="D85" s="17" t="s">
        <v>157</v>
      </c>
      <c r="E85" s="17" t="s">
        <v>27</v>
      </c>
      <c r="F85" s="18" t="s">
        <v>269</v>
      </c>
      <c r="G85" s="18" t="s">
        <v>158</v>
      </c>
      <c r="H85" s="18" t="s">
        <v>361</v>
      </c>
      <c r="I85" s="18" t="s">
        <v>362</v>
      </c>
      <c r="J85" s="19"/>
      <c r="K85" s="20"/>
    </row>
    <row r="86" spans="1:11" ht="15" x14ac:dyDescent="0.25">
      <c r="A86" s="17" t="s">
        <v>156</v>
      </c>
      <c r="B86" s="17" t="s">
        <v>263</v>
      </c>
      <c r="C86" s="17" t="s">
        <v>37</v>
      </c>
      <c r="D86" s="17" t="s">
        <v>159</v>
      </c>
      <c r="E86" s="17" t="s">
        <v>27</v>
      </c>
      <c r="F86" s="18" t="s">
        <v>269</v>
      </c>
      <c r="G86" s="18" t="s">
        <v>160</v>
      </c>
      <c r="H86" s="18" t="s">
        <v>363</v>
      </c>
      <c r="I86" s="18" t="s">
        <v>362</v>
      </c>
      <c r="J86" s="19"/>
      <c r="K86" s="20"/>
    </row>
    <row r="87" spans="1:11" ht="15" x14ac:dyDescent="0.25">
      <c r="A87" s="17" t="s">
        <v>156</v>
      </c>
      <c r="B87" s="17" t="s">
        <v>262</v>
      </c>
      <c r="C87" s="17" t="s">
        <v>11</v>
      </c>
      <c r="D87" s="18" t="s">
        <v>364</v>
      </c>
      <c r="E87" s="17" t="s">
        <v>27</v>
      </c>
      <c r="F87" s="18" t="s">
        <v>269</v>
      </c>
      <c r="G87" s="18" t="s">
        <v>161</v>
      </c>
      <c r="H87" s="18" t="s">
        <v>365</v>
      </c>
      <c r="I87" s="18" t="s">
        <v>366</v>
      </c>
      <c r="J87" s="19"/>
      <c r="K87" s="20"/>
    </row>
    <row r="88" spans="1:11" ht="15" x14ac:dyDescent="0.25">
      <c r="A88" s="17" t="s">
        <v>220</v>
      </c>
      <c r="B88" s="17" t="s">
        <v>263</v>
      </c>
      <c r="C88" s="17" t="s">
        <v>63</v>
      </c>
      <c r="D88" s="17" t="s">
        <v>221</v>
      </c>
      <c r="E88" s="17" t="s">
        <v>27</v>
      </c>
      <c r="F88" s="18" t="s">
        <v>269</v>
      </c>
      <c r="G88" s="18" t="s">
        <v>222</v>
      </c>
      <c r="H88" s="18" t="s">
        <v>367</v>
      </c>
      <c r="I88" s="18" t="s">
        <v>368</v>
      </c>
      <c r="J88" s="19"/>
      <c r="K88" s="20"/>
    </row>
    <row r="89" spans="1:11" ht="15" x14ac:dyDescent="0.25">
      <c r="A89" s="17" t="s">
        <v>220</v>
      </c>
      <c r="B89" s="17" t="s">
        <v>265</v>
      </c>
      <c r="C89" s="17" t="s">
        <v>15</v>
      </c>
      <c r="D89" s="17" t="s">
        <v>234</v>
      </c>
      <c r="E89" s="17" t="s">
        <v>10</v>
      </c>
      <c r="F89" s="18" t="s">
        <v>269</v>
      </c>
      <c r="G89" s="18" t="s">
        <v>235</v>
      </c>
      <c r="H89" s="18" t="s">
        <v>369</v>
      </c>
      <c r="I89" s="18"/>
      <c r="J89" s="19"/>
      <c r="K89" s="20"/>
    </row>
    <row r="90" spans="1:11" ht="15" x14ac:dyDescent="0.25">
      <c r="A90" s="17" t="s">
        <v>220</v>
      </c>
      <c r="B90" s="17" t="s">
        <v>263</v>
      </c>
      <c r="C90" s="17" t="s">
        <v>18</v>
      </c>
      <c r="D90" s="17" t="s">
        <v>223</v>
      </c>
      <c r="E90" s="17" t="s">
        <v>27</v>
      </c>
      <c r="F90" s="18" t="s">
        <v>297</v>
      </c>
      <c r="G90" s="18" t="s">
        <v>224</v>
      </c>
      <c r="H90" s="18" t="s">
        <v>370</v>
      </c>
      <c r="I90" s="18"/>
      <c r="J90" s="19"/>
      <c r="K90" s="20"/>
    </row>
    <row r="91" spans="1:11" ht="15" x14ac:dyDescent="0.25">
      <c r="A91" s="17" t="s">
        <v>220</v>
      </c>
      <c r="B91" s="17" t="s">
        <v>263</v>
      </c>
      <c r="C91" s="17" t="s">
        <v>37</v>
      </c>
      <c r="D91" s="17" t="s">
        <v>225</v>
      </c>
      <c r="E91" s="17" t="s">
        <v>27</v>
      </c>
      <c r="F91" s="18" t="s">
        <v>269</v>
      </c>
      <c r="G91" s="18" t="s">
        <v>226</v>
      </c>
      <c r="H91" s="18" t="s">
        <v>371</v>
      </c>
      <c r="I91" s="18" t="s">
        <v>368</v>
      </c>
      <c r="J91" s="19"/>
      <c r="K91" s="20"/>
    </row>
    <row r="92" spans="1:11" ht="15" x14ac:dyDescent="0.25">
      <c r="A92" s="17" t="s">
        <v>220</v>
      </c>
      <c r="B92" s="17" t="s">
        <v>264</v>
      </c>
      <c r="C92" s="17" t="s">
        <v>229</v>
      </c>
      <c r="D92" s="17" t="s">
        <v>230</v>
      </c>
      <c r="E92" s="17" t="s">
        <v>14</v>
      </c>
      <c r="F92" s="18" t="s">
        <v>297</v>
      </c>
      <c r="G92" s="18" t="s">
        <v>231</v>
      </c>
      <c r="H92" s="18" t="s">
        <v>372</v>
      </c>
      <c r="I92" s="18"/>
      <c r="J92" s="19"/>
      <c r="K92" s="20"/>
    </row>
    <row r="93" spans="1:11" ht="15" x14ac:dyDescent="0.25">
      <c r="A93" s="17" t="s">
        <v>220</v>
      </c>
      <c r="B93" s="17" t="s">
        <v>266</v>
      </c>
      <c r="C93" s="17" t="s">
        <v>49</v>
      </c>
      <c r="D93" s="17" t="s">
        <v>227</v>
      </c>
      <c r="E93" s="17" t="s">
        <v>27</v>
      </c>
      <c r="F93" s="18" t="s">
        <v>297</v>
      </c>
      <c r="G93" s="18" t="s">
        <v>167</v>
      </c>
      <c r="H93" s="18" t="s">
        <v>373</v>
      </c>
      <c r="I93" s="18"/>
      <c r="J93" s="19"/>
      <c r="K93" s="20"/>
    </row>
    <row r="94" spans="1:11" ht="15" x14ac:dyDescent="0.25">
      <c r="A94" s="17" t="s">
        <v>220</v>
      </c>
      <c r="B94" s="17" t="s">
        <v>265</v>
      </c>
      <c r="C94" s="17" t="s">
        <v>137</v>
      </c>
      <c r="D94" s="17" t="s">
        <v>236</v>
      </c>
      <c r="E94" s="17" t="s">
        <v>14</v>
      </c>
      <c r="F94" s="18" t="s">
        <v>269</v>
      </c>
      <c r="G94" s="18" t="s">
        <v>237</v>
      </c>
      <c r="H94" s="18" t="s">
        <v>374</v>
      </c>
      <c r="I94" s="18" t="s">
        <v>368</v>
      </c>
      <c r="J94" s="19"/>
      <c r="K94" s="20"/>
    </row>
    <row r="95" spans="1:11" ht="15" x14ac:dyDescent="0.25">
      <c r="A95" s="17" t="s">
        <v>220</v>
      </c>
      <c r="B95" s="17" t="s">
        <v>265</v>
      </c>
      <c r="C95" s="17" t="s">
        <v>232</v>
      </c>
      <c r="D95" s="17" t="s">
        <v>233</v>
      </c>
      <c r="E95" s="17" t="s">
        <v>14</v>
      </c>
      <c r="F95" s="18" t="s">
        <v>269</v>
      </c>
      <c r="G95" s="18"/>
      <c r="H95" s="18"/>
      <c r="I95" s="18" t="s">
        <v>368</v>
      </c>
      <c r="J95" s="19"/>
      <c r="K95" s="20"/>
    </row>
    <row r="96" spans="1:11" ht="15" x14ac:dyDescent="0.25">
      <c r="A96" s="17" t="s">
        <v>212</v>
      </c>
      <c r="B96" s="17" t="s">
        <v>267</v>
      </c>
      <c r="C96" s="17" t="s">
        <v>113</v>
      </c>
      <c r="D96" s="17" t="s">
        <v>218</v>
      </c>
      <c r="E96" s="17" t="s">
        <v>14</v>
      </c>
      <c r="F96" s="18" t="s">
        <v>269</v>
      </c>
      <c r="G96" s="18" t="s">
        <v>219</v>
      </c>
      <c r="H96" s="18"/>
      <c r="I96" s="18"/>
      <c r="J96" s="19"/>
      <c r="K96" s="20"/>
    </row>
    <row r="97" spans="1:11" ht="15" x14ac:dyDescent="0.25">
      <c r="A97" s="17" t="s">
        <v>212</v>
      </c>
      <c r="B97" s="17" t="s">
        <v>262</v>
      </c>
      <c r="C97" s="17" t="s">
        <v>216</v>
      </c>
      <c r="D97" s="17" t="s">
        <v>217</v>
      </c>
      <c r="E97" s="17" t="s">
        <v>14</v>
      </c>
      <c r="F97" s="18" t="s">
        <v>269</v>
      </c>
      <c r="G97" s="18" t="s">
        <v>375</v>
      </c>
      <c r="H97" s="18"/>
      <c r="I97" s="18"/>
      <c r="J97" s="19"/>
      <c r="K97" s="20"/>
    </row>
    <row r="98" spans="1:11" ht="15" x14ac:dyDescent="0.25">
      <c r="A98" s="17" t="s">
        <v>212</v>
      </c>
      <c r="B98" s="17" t="s">
        <v>262</v>
      </c>
      <c r="C98" s="17" t="s">
        <v>11</v>
      </c>
      <c r="D98" s="18" t="s">
        <v>214</v>
      </c>
      <c r="E98" s="17" t="s">
        <v>14</v>
      </c>
      <c r="F98" s="18" t="s">
        <v>269</v>
      </c>
      <c r="G98" s="18" t="s">
        <v>215</v>
      </c>
      <c r="H98" s="18"/>
      <c r="I98" s="18"/>
      <c r="J98" s="19"/>
      <c r="K98" s="20"/>
    </row>
    <row r="99" spans="1:11" ht="15" x14ac:dyDescent="0.25">
      <c r="A99" s="17" t="s">
        <v>212</v>
      </c>
      <c r="B99" s="17" t="s">
        <v>263</v>
      </c>
      <c r="C99" s="17" t="s">
        <v>18</v>
      </c>
      <c r="D99" s="18" t="s">
        <v>213</v>
      </c>
      <c r="E99" s="17" t="s">
        <v>14</v>
      </c>
      <c r="F99" s="18" t="s">
        <v>269</v>
      </c>
      <c r="G99" s="18"/>
      <c r="H99" s="18"/>
      <c r="I99" s="18"/>
      <c r="J99" s="19"/>
      <c r="K99" s="20"/>
    </row>
    <row r="100" spans="1:11" ht="15" x14ac:dyDescent="0.25">
      <c r="A100" s="17" t="s">
        <v>194</v>
      </c>
      <c r="B100" s="17" t="s">
        <v>262</v>
      </c>
      <c r="C100" s="17" t="s">
        <v>198</v>
      </c>
      <c r="D100" s="17" t="s">
        <v>376</v>
      </c>
      <c r="E100" s="17" t="s">
        <v>14</v>
      </c>
      <c r="F100" s="18" t="s">
        <v>297</v>
      </c>
      <c r="G100" s="18" t="s">
        <v>199</v>
      </c>
      <c r="H100" s="18" t="s">
        <v>377</v>
      </c>
      <c r="I100" s="18"/>
      <c r="J100" s="19"/>
      <c r="K100" s="20"/>
    </row>
    <row r="101" spans="1:11" ht="15" x14ac:dyDescent="0.25">
      <c r="A101" s="17" t="s">
        <v>194</v>
      </c>
      <c r="B101" s="17" t="s">
        <v>263</v>
      </c>
      <c r="C101" s="17" t="s">
        <v>96</v>
      </c>
      <c r="D101" s="17" t="s">
        <v>196</v>
      </c>
      <c r="E101" s="17" t="s">
        <v>14</v>
      </c>
      <c r="F101" s="18" t="s">
        <v>269</v>
      </c>
      <c r="G101" s="18" t="s">
        <v>197</v>
      </c>
      <c r="H101" s="18" t="s">
        <v>378</v>
      </c>
      <c r="I101" s="18"/>
      <c r="J101" s="19"/>
      <c r="K101" s="20"/>
    </row>
    <row r="102" spans="1:11" ht="15" x14ac:dyDescent="0.25">
      <c r="A102" s="17" t="s">
        <v>194</v>
      </c>
      <c r="B102" s="17" t="s">
        <v>263</v>
      </c>
      <c r="C102" s="17" t="s">
        <v>18</v>
      </c>
      <c r="D102" s="18" t="s">
        <v>195</v>
      </c>
      <c r="E102" s="17" t="s">
        <v>27</v>
      </c>
      <c r="F102" s="18" t="s">
        <v>269</v>
      </c>
      <c r="G102" s="18"/>
      <c r="H102" s="18"/>
      <c r="I102" s="18"/>
      <c r="J102" s="19"/>
      <c r="K102" s="20"/>
    </row>
    <row r="103" spans="1:11" ht="15" x14ac:dyDescent="0.25">
      <c r="A103" s="17" t="s">
        <v>238</v>
      </c>
      <c r="B103" s="17" t="s">
        <v>263</v>
      </c>
      <c r="C103" s="17" t="s">
        <v>18</v>
      </c>
      <c r="D103" s="17" t="s">
        <v>241</v>
      </c>
      <c r="E103" s="17" t="s">
        <v>27</v>
      </c>
      <c r="F103" s="18" t="s">
        <v>269</v>
      </c>
      <c r="G103" s="18" t="s">
        <v>242</v>
      </c>
      <c r="H103" s="18"/>
      <c r="I103" s="18" t="s">
        <v>379</v>
      </c>
      <c r="J103" s="19"/>
      <c r="K103" s="20"/>
    </row>
    <row r="104" spans="1:11" ht="15" x14ac:dyDescent="0.25">
      <c r="A104" s="17" t="s">
        <v>238</v>
      </c>
      <c r="B104" s="17" t="s">
        <v>263</v>
      </c>
      <c r="C104" s="17" t="s">
        <v>63</v>
      </c>
      <c r="D104" s="17" t="s">
        <v>239</v>
      </c>
      <c r="E104" s="17" t="s">
        <v>27</v>
      </c>
      <c r="F104" s="18" t="s">
        <v>297</v>
      </c>
      <c r="G104" s="18" t="s">
        <v>240</v>
      </c>
      <c r="H104" s="18"/>
      <c r="I104" s="18"/>
      <c r="J104" s="19"/>
      <c r="K104" s="20"/>
    </row>
    <row r="105" spans="1:11" ht="15" x14ac:dyDescent="0.25">
      <c r="A105" s="17" t="s">
        <v>238</v>
      </c>
      <c r="B105" s="17" t="s">
        <v>263</v>
      </c>
      <c r="C105" s="17" t="s">
        <v>96</v>
      </c>
      <c r="D105" s="17" t="s">
        <v>243</v>
      </c>
      <c r="E105" s="17" t="s">
        <v>14</v>
      </c>
      <c r="F105" s="18" t="s">
        <v>269</v>
      </c>
      <c r="G105" s="18" t="s">
        <v>244</v>
      </c>
      <c r="H105" s="18"/>
      <c r="I105" s="18" t="s">
        <v>379</v>
      </c>
      <c r="J105" s="19"/>
      <c r="K105" s="20"/>
    </row>
    <row r="106" spans="1:11" ht="12.75" x14ac:dyDescent="0.2">
      <c r="A106" s="17" t="s">
        <v>238</v>
      </c>
      <c r="B106" s="17" t="s">
        <v>265</v>
      </c>
      <c r="C106" s="17" t="s">
        <v>76</v>
      </c>
      <c r="D106" s="17" t="s">
        <v>247</v>
      </c>
      <c r="E106" s="17" t="s">
        <v>14</v>
      </c>
      <c r="F106" s="17" t="s">
        <v>297</v>
      </c>
      <c r="G106" s="17" t="s">
        <v>248</v>
      </c>
      <c r="H106" s="17"/>
      <c r="I106" s="17" t="s">
        <v>379</v>
      </c>
      <c r="J106" s="21"/>
      <c r="K106" s="21"/>
    </row>
    <row r="107" spans="1:11" ht="15" x14ac:dyDescent="0.25">
      <c r="A107" s="17" t="s">
        <v>238</v>
      </c>
      <c r="B107" s="17" t="s">
        <v>264</v>
      </c>
      <c r="C107" s="17" t="s">
        <v>229</v>
      </c>
      <c r="D107" s="17" t="s">
        <v>245</v>
      </c>
      <c r="E107" s="17" t="s">
        <v>14</v>
      </c>
      <c r="F107" s="18" t="s">
        <v>297</v>
      </c>
      <c r="G107" s="18" t="s">
        <v>246</v>
      </c>
      <c r="H107" s="18"/>
      <c r="I107" s="18" t="s">
        <v>379</v>
      </c>
      <c r="J107" s="19"/>
      <c r="K107" s="20"/>
    </row>
    <row r="108" spans="1:11" ht="15" x14ac:dyDescent="0.25">
      <c r="A108" s="17" t="s">
        <v>238</v>
      </c>
      <c r="B108" s="17" t="s">
        <v>265</v>
      </c>
      <c r="C108" s="17" t="s">
        <v>15</v>
      </c>
      <c r="D108" s="17" t="s">
        <v>249</v>
      </c>
      <c r="E108" s="17" t="s">
        <v>14</v>
      </c>
      <c r="F108" s="18" t="s">
        <v>297</v>
      </c>
      <c r="G108" s="18" t="s">
        <v>250</v>
      </c>
      <c r="H108" s="18"/>
      <c r="I108" s="18" t="s">
        <v>380</v>
      </c>
      <c r="J108" s="19"/>
      <c r="K108" s="20"/>
    </row>
    <row r="109" spans="1:11" ht="15" x14ac:dyDescent="0.25">
      <c r="A109" s="17" t="s">
        <v>183</v>
      </c>
      <c r="B109" s="17" t="s">
        <v>263</v>
      </c>
      <c r="C109" s="17" t="s">
        <v>182</v>
      </c>
      <c r="D109" s="17" t="s">
        <v>184</v>
      </c>
      <c r="E109" s="17" t="s">
        <v>14</v>
      </c>
      <c r="F109" s="18" t="s">
        <v>269</v>
      </c>
      <c r="G109" s="18" t="s">
        <v>185</v>
      </c>
      <c r="H109" s="18" t="s">
        <v>381</v>
      </c>
      <c r="I109" s="18"/>
      <c r="J109" s="19"/>
      <c r="K109" s="20"/>
    </row>
    <row r="110" spans="1:11" ht="15" x14ac:dyDescent="0.25">
      <c r="A110" s="17" t="s">
        <v>183</v>
      </c>
      <c r="B110" s="17" t="s">
        <v>264</v>
      </c>
      <c r="C110" s="17" t="s">
        <v>68</v>
      </c>
      <c r="D110" s="17" t="s">
        <v>188</v>
      </c>
      <c r="E110" s="17" t="s">
        <v>14</v>
      </c>
      <c r="F110" s="18" t="s">
        <v>269</v>
      </c>
      <c r="G110" s="18" t="s">
        <v>189</v>
      </c>
      <c r="H110" s="18" t="s">
        <v>382</v>
      </c>
      <c r="I110" s="18"/>
      <c r="J110" s="19"/>
      <c r="K110" s="20"/>
    </row>
    <row r="111" spans="1:11" ht="15" x14ac:dyDescent="0.25">
      <c r="A111" s="17" t="s">
        <v>183</v>
      </c>
      <c r="B111" s="17" t="s">
        <v>265</v>
      </c>
      <c r="C111" s="17" t="s">
        <v>176</v>
      </c>
      <c r="D111" s="18" t="s">
        <v>192</v>
      </c>
      <c r="E111" s="17" t="s">
        <v>14</v>
      </c>
      <c r="F111" s="18" t="s">
        <v>269</v>
      </c>
      <c r="G111" s="18" t="s">
        <v>193</v>
      </c>
      <c r="H111" s="18"/>
      <c r="I111" s="18" t="s">
        <v>383</v>
      </c>
      <c r="J111" s="19"/>
      <c r="K111" s="20"/>
    </row>
    <row r="112" spans="1:11" ht="15" x14ac:dyDescent="0.25">
      <c r="A112" s="17" t="s">
        <v>183</v>
      </c>
      <c r="B112" s="17" t="s">
        <v>264</v>
      </c>
      <c r="C112" s="17" t="s">
        <v>22</v>
      </c>
      <c r="D112" s="17" t="s">
        <v>190</v>
      </c>
      <c r="E112" s="17" t="s">
        <v>14</v>
      </c>
      <c r="F112" s="18" t="s">
        <v>269</v>
      </c>
      <c r="G112" s="18" t="s">
        <v>191</v>
      </c>
      <c r="H112" s="18" t="s">
        <v>384</v>
      </c>
      <c r="I112" s="18"/>
      <c r="J112" s="19"/>
      <c r="K112" s="20"/>
    </row>
    <row r="113" spans="1:11" ht="15" x14ac:dyDescent="0.25">
      <c r="A113" s="17" t="s">
        <v>183</v>
      </c>
      <c r="B113" s="17" t="s">
        <v>263</v>
      </c>
      <c r="C113" s="17" t="s">
        <v>37</v>
      </c>
      <c r="D113" s="17" t="s">
        <v>186</v>
      </c>
      <c r="E113" s="17" t="s">
        <v>14</v>
      </c>
      <c r="F113" s="18" t="s">
        <v>269</v>
      </c>
      <c r="G113" s="18" t="s">
        <v>187</v>
      </c>
      <c r="H113" s="18" t="s">
        <v>385</v>
      </c>
      <c r="I113" s="18"/>
      <c r="J113" s="19"/>
      <c r="K113" s="20"/>
    </row>
    <row r="114" spans="1:11" ht="15" x14ac:dyDescent="0.25">
      <c r="A114" s="17" t="s">
        <v>251</v>
      </c>
      <c r="B114" s="17" t="s">
        <v>262</v>
      </c>
      <c r="C114" s="17" t="s">
        <v>11</v>
      </c>
      <c r="D114" s="17" t="s">
        <v>254</v>
      </c>
      <c r="E114" s="17" t="s">
        <v>14</v>
      </c>
      <c r="F114" s="18" t="s">
        <v>269</v>
      </c>
      <c r="G114" s="18" t="s">
        <v>255</v>
      </c>
      <c r="H114" s="18" t="s">
        <v>386</v>
      </c>
      <c r="I114" s="18"/>
      <c r="J114" s="19"/>
      <c r="K114" s="20"/>
    </row>
    <row r="115" spans="1:11" ht="15" x14ac:dyDescent="0.25">
      <c r="A115" s="17" t="s">
        <v>251</v>
      </c>
      <c r="B115" s="17" t="s">
        <v>264</v>
      </c>
      <c r="C115" s="17" t="s">
        <v>68</v>
      </c>
      <c r="D115" s="17" t="s">
        <v>256</v>
      </c>
      <c r="E115" s="17" t="s">
        <v>14</v>
      </c>
      <c r="F115" s="18" t="s">
        <v>269</v>
      </c>
      <c r="G115" s="18" t="s">
        <v>387</v>
      </c>
      <c r="H115" s="18" t="s">
        <v>388</v>
      </c>
      <c r="I115" s="18"/>
      <c r="J115" s="19"/>
      <c r="K115" s="20"/>
    </row>
    <row r="116" spans="1:11" ht="15" x14ac:dyDescent="0.25">
      <c r="A116" s="17" t="s">
        <v>251</v>
      </c>
      <c r="B116" s="17" t="s">
        <v>265</v>
      </c>
      <c r="C116" s="17" t="s">
        <v>76</v>
      </c>
      <c r="D116" s="17" t="s">
        <v>259</v>
      </c>
      <c r="E116" s="17" t="s">
        <v>14</v>
      </c>
      <c r="F116" s="18" t="s">
        <v>269</v>
      </c>
      <c r="G116" s="18" t="s">
        <v>260</v>
      </c>
      <c r="H116" s="18" t="s">
        <v>389</v>
      </c>
      <c r="I116" s="18" t="s">
        <v>390</v>
      </c>
      <c r="J116" s="19"/>
      <c r="K116" s="20"/>
    </row>
    <row r="117" spans="1:11" ht="15" x14ac:dyDescent="0.25">
      <c r="A117" s="17" t="s">
        <v>251</v>
      </c>
      <c r="B117" s="17" t="s">
        <v>265</v>
      </c>
      <c r="C117" s="17" t="s">
        <v>32</v>
      </c>
      <c r="D117" s="17" t="s">
        <v>391</v>
      </c>
      <c r="E117" s="17" t="s">
        <v>14</v>
      </c>
      <c r="F117" s="18" t="s">
        <v>269</v>
      </c>
      <c r="G117" s="18" t="s">
        <v>261</v>
      </c>
      <c r="H117" s="18" t="s">
        <v>392</v>
      </c>
      <c r="I117" s="18"/>
      <c r="J117" s="19"/>
      <c r="K117" s="20"/>
    </row>
    <row r="118" spans="1:11" ht="15" x14ac:dyDescent="0.25">
      <c r="A118" s="17" t="s">
        <v>251</v>
      </c>
      <c r="B118" s="17" t="s">
        <v>265</v>
      </c>
      <c r="C118" s="17" t="s">
        <v>53</v>
      </c>
      <c r="D118" s="17" t="s">
        <v>257</v>
      </c>
      <c r="E118" s="17" t="s">
        <v>14</v>
      </c>
      <c r="F118" s="18" t="s">
        <v>269</v>
      </c>
      <c r="G118" s="18" t="s">
        <v>258</v>
      </c>
      <c r="H118" s="18" t="s">
        <v>393</v>
      </c>
      <c r="I118" s="18"/>
      <c r="J118" s="19"/>
      <c r="K118" s="20"/>
    </row>
    <row r="119" spans="1:11" ht="15" x14ac:dyDescent="0.25">
      <c r="A119" s="17" t="s">
        <v>251</v>
      </c>
      <c r="B119" s="17" t="s">
        <v>266</v>
      </c>
      <c r="C119" s="17" t="s">
        <v>49</v>
      </c>
      <c r="D119" s="17" t="s">
        <v>252</v>
      </c>
      <c r="E119" s="17" t="s">
        <v>14</v>
      </c>
      <c r="F119" s="18" t="s">
        <v>269</v>
      </c>
      <c r="G119" s="18" t="s">
        <v>228</v>
      </c>
      <c r="H119" s="18" t="s">
        <v>394</v>
      </c>
      <c r="I119" s="18"/>
      <c r="J119" s="19"/>
      <c r="K119" s="20"/>
    </row>
    <row r="120" spans="1:11" ht="15" x14ac:dyDescent="0.25">
      <c r="A120" s="17" t="s">
        <v>141</v>
      </c>
      <c r="B120" s="17" t="s">
        <v>262</v>
      </c>
      <c r="C120" s="17" t="s">
        <v>11</v>
      </c>
      <c r="D120" s="17" t="s">
        <v>145</v>
      </c>
      <c r="E120" s="17" t="s">
        <v>14</v>
      </c>
      <c r="F120" s="18" t="s">
        <v>269</v>
      </c>
      <c r="G120" s="18" t="s">
        <v>395</v>
      </c>
      <c r="H120" s="18" t="s">
        <v>270</v>
      </c>
      <c r="I120" s="18"/>
      <c r="J120" s="19"/>
      <c r="K120" s="20"/>
    </row>
    <row r="121" spans="1:11" ht="15" x14ac:dyDescent="0.25">
      <c r="A121" s="17" t="s">
        <v>141</v>
      </c>
      <c r="B121" s="17" t="s">
        <v>263</v>
      </c>
      <c r="C121" s="17" t="s">
        <v>18</v>
      </c>
      <c r="D121" s="17" t="s">
        <v>142</v>
      </c>
      <c r="E121" s="17" t="s">
        <v>14</v>
      </c>
      <c r="F121" s="18" t="s">
        <v>269</v>
      </c>
      <c r="G121" s="18" t="s">
        <v>143</v>
      </c>
      <c r="H121" s="18" t="s">
        <v>271</v>
      </c>
      <c r="I121" s="18"/>
      <c r="J121" s="19"/>
      <c r="K121" s="20"/>
    </row>
    <row r="122" spans="1:11" ht="15" x14ac:dyDescent="0.25">
      <c r="A122" s="17" t="s">
        <v>141</v>
      </c>
      <c r="B122" s="17" t="s">
        <v>265</v>
      </c>
      <c r="C122" s="17" t="s">
        <v>32</v>
      </c>
      <c r="D122" s="17" t="s">
        <v>147</v>
      </c>
      <c r="E122" s="17" t="s">
        <v>14</v>
      </c>
      <c r="F122" s="18" t="s">
        <v>269</v>
      </c>
      <c r="G122" s="18" t="s">
        <v>148</v>
      </c>
      <c r="H122" s="18" t="s">
        <v>272</v>
      </c>
      <c r="I122" s="18"/>
      <c r="J122" s="19"/>
      <c r="K122" s="20"/>
    </row>
    <row r="123" spans="1:11" ht="12.75" x14ac:dyDescent="0.2">
      <c r="A123" s="17" t="s">
        <v>141</v>
      </c>
      <c r="B123" s="17" t="s">
        <v>263</v>
      </c>
      <c r="C123" s="17" t="s">
        <v>37</v>
      </c>
      <c r="D123" s="17" t="s">
        <v>144</v>
      </c>
      <c r="E123" s="17" t="s">
        <v>14</v>
      </c>
      <c r="F123" s="18" t="s">
        <v>269</v>
      </c>
      <c r="G123" s="18"/>
      <c r="H123" s="18"/>
      <c r="I123" s="18"/>
      <c r="J123" s="22"/>
      <c r="K123" s="22"/>
    </row>
  </sheetData>
  <sortState xmlns:xlrd2="http://schemas.microsoft.com/office/spreadsheetml/2017/richdata2" ref="B2:E123">
    <sortCondition ref="B2:B123"/>
  </sortState>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Z1000"/>
  <sheetViews>
    <sheetView workbookViewId="0">
      <pane ySplit="1" topLeftCell="A2" activePane="bottomLeft" state="frozen"/>
      <selection pane="bottomLeft" activeCell="B3" sqref="B3"/>
    </sheetView>
  </sheetViews>
  <sheetFormatPr defaultColWidth="12.5703125" defaultRowHeight="15.75" customHeight="1" x14ac:dyDescent="0.2"/>
  <cols>
    <col min="3" max="3" width="18.5703125" customWidth="1"/>
  </cols>
  <sheetData>
    <row r="1" spans="1:26" x14ac:dyDescent="0.2">
      <c r="A1" s="3" t="str">
        <f ca="1">IFERROR(__xludf.DUMMYFUNCTION("importrange(""https://docs.google.com/spreadsheets/d/1TS99ErEAklT3ex9rI4QpjxphUVJaQdf6ym6yhWTx3sE/edit#gid=0"", ""UNITUS!A1:l"")"),"site")</f>
        <v>site</v>
      </c>
      <c r="B1" s="1" t="str">
        <f ca="1">IFERROR(__xludf.DUMMYFUNCTION("""COMPUTED_VALUE"""),"category")</f>
        <v>category</v>
      </c>
      <c r="C1" s="1" t="str">
        <f ca="1">IFERROR(__xludf.DUMMYFUNCTION("""COMPUTED_VALUE"""),"subcategory")</f>
        <v>subcategory</v>
      </c>
      <c r="D1" s="1" t="str">
        <f ca="1">IFERROR(__xludf.DUMMYFUNCTION("""COMPUTED_VALUE"""),"description of the service")</f>
        <v>description of the service</v>
      </c>
      <c r="E1" s="1" t="str">
        <f ca="1">IFERROR(__xludf.DUMMYFUNCTION("""COMPUTED_VALUE"""),"access type")</f>
        <v>access type</v>
      </c>
      <c r="F1" s="1" t="str">
        <f ca="1">IFERROR(__xludf.DUMMYFUNCTION("""COMPUTED_VALUE"""),"status")</f>
        <v>status</v>
      </c>
      <c r="G1" s="1" t="str">
        <f ca="1">IFERROR(__xludf.DUMMYFUNCTION("""COMPUTED_VALUE"""),"contextual information or expertise associated to the service")</f>
        <v>contextual information or expertise associated to the service</v>
      </c>
      <c r="H1" s="1" t="str">
        <f ca="1">IFERROR(__xludf.DUMMYFUNCTION("""COMPUTED_VALUE"""),"keywords of the service")</f>
        <v>keywords of the service</v>
      </c>
      <c r="I1" s="1" t="str">
        <f ca="1">IFERROR(__xludf.DUMMYFUNCTION("""COMPUTED_VALUE"""),"platform name")</f>
        <v>platform name</v>
      </c>
      <c r="J1" s="1" t="str">
        <f ca="1">IFERROR(__xludf.DUMMYFUNCTION("""COMPUTED_VALUE"""),"Note di Giorgio")</f>
        <v>Note di Giorgio</v>
      </c>
      <c r="K1" s="1"/>
      <c r="L1" s="1"/>
      <c r="M1" s="1"/>
      <c r="N1" s="1"/>
      <c r="O1" s="1"/>
      <c r="P1" s="1"/>
      <c r="Q1" s="1"/>
      <c r="R1" s="1"/>
      <c r="S1" s="1"/>
      <c r="T1" s="1"/>
      <c r="U1" s="1"/>
      <c r="V1" s="1"/>
      <c r="W1" s="1"/>
      <c r="X1" s="1"/>
      <c r="Y1" s="1"/>
      <c r="Z1" s="1"/>
    </row>
    <row r="2" spans="1:26" x14ac:dyDescent="0.2">
      <c r="A2" s="2" t="str">
        <f ca="1">IFERROR(__xludf.DUMMYFUNCTION("""COMPUTED_VALUE"""),"UNITUS")</f>
        <v>UNITUS</v>
      </c>
      <c r="B2" s="2" t="str">
        <f ca="1">IFERROR(__xludf.DUMMYFUNCTION("""COMPUTED_VALUE"""),"Biological resources")</f>
        <v>Biological resources</v>
      </c>
      <c r="C2" s="2" t="str">
        <f ca="1">IFERROR(__xludf.DUMMYFUNCTION("""COMPUTED_VALUE"""),"Organisms collected in the wild")</f>
        <v>Organisms collected in the wild</v>
      </c>
      <c r="D2" s="2" t="str">
        <f ca="1">IFERROR(__xludf.DUMMYFUNCTION("""COMPUTED_VALUE"""),"Access to organisms provision from insular ecosystems (Pontine Islands, Tuscan Archipelago) or costal ecosystems (Latium from San Felice Circeo to Argentario), including plankton sampling, sediment sampling at different dephts and supply of marine model o"&amp;"rganisms")</f>
        <v>Access to organisms provision from insular ecosystems (Pontine Islands, Tuscan Archipelago) or costal ecosystems (Latium from San Felice Circeo to Argentario), including plankton sampling, sediment sampling at different dephts and supply of marine model organisms</v>
      </c>
      <c r="E2" s="2" t="str">
        <f ca="1">IFERROR(__xludf.DUMMYFUNCTION("""COMPUTED_VALUE"""),"on-site and remote")</f>
        <v>on-site and remote</v>
      </c>
      <c r="F2" s="2" t="str">
        <f ca="1">IFERROR(__xludf.DUMMYFUNCTION("""COMPUTED_VALUE"""),"available")</f>
        <v>available</v>
      </c>
      <c r="G2" s="2" t="str">
        <f ca="1">IFERROR(__xludf.DUMMYFUNCTION("""COMPUTED_VALUE"""),"Assisted sampling and taxonomic identification of: nektonic organisms (fish, crustaceans, cephalopods); fish parasites (endo- and ecto-parasites); marine bacteria and fungi. Two boats fully equipped for scientific sampling (Calafuria 11m, Calasetta 7 m), "&amp;"one tecnician with navigation license and sampling expertise. Two tecnicians with Certified Advanced Underwater Scientific Divers (AIOSS - AESD). CISMAR is recognised as a Scientific Institute by MASAF for fishery activities. Sampling from northern Latium"&amp;" coasts, including 5 SAC Natura 2000 with P. oceanica beds")</f>
        <v>Assisted sampling and taxonomic identification of: nektonic organisms (fish, crustaceans, cephalopods); fish parasites (endo- and ecto-parasites); marine bacteria and fungi. Two boats fully equipped for scientific sampling (Calafuria 11m, Calasetta 7 m), one tecnician with navigation license and sampling expertise. Two tecnicians with Certified Advanced Underwater Scientific Divers (AIOSS - AESD). CISMAR is recognised as a Scientific Institute by MASAF for fishery activities. Sampling from northern Latium coasts, including 5 SAC Natura 2000 with P. oceanica beds</v>
      </c>
      <c r="H2" s="2"/>
      <c r="I2" s="2" t="str">
        <f ca="1">IFERROR(__xludf.DUMMYFUNCTION("""COMPUTED_VALUE"""),"CISMAR")</f>
        <v>CISMAR</v>
      </c>
      <c r="J2" s="2"/>
    </row>
    <row r="3" spans="1:26" x14ac:dyDescent="0.2">
      <c r="A3" s="2" t="str">
        <f ca="1">IFERROR(__xludf.DUMMYFUNCTION("""COMPUTED_VALUE"""),"UNITUS")</f>
        <v>UNITUS</v>
      </c>
      <c r="B3" s="2" t="str">
        <f ca="1">IFERROR(__xludf.DUMMYFUNCTION("""COMPUTED_VALUE"""),"Biological resources")</f>
        <v>Biological resources</v>
      </c>
      <c r="C3" s="2" t="str">
        <f ca="1">IFERROR(__xludf.DUMMYFUNCTION("""COMPUTED_VALUE"""),"Culture collections")</f>
        <v>Culture collections</v>
      </c>
      <c r="D3" s="2" t="str">
        <f ca="1">IFERROR(__xludf.DUMMYFUNCTION("""COMPUTED_VALUE"""),"Marine bacteria and fungi culture collection")</f>
        <v>Marine bacteria and fungi culture collection</v>
      </c>
      <c r="E3" s="2" t="str">
        <f ca="1">IFERROR(__xludf.DUMMYFUNCTION("""COMPUTED_VALUE"""),"on-site and remote")</f>
        <v>on-site and remote</v>
      </c>
      <c r="F3" s="2" t="str">
        <f ca="1">IFERROR(__xludf.DUMMYFUNCTION("""COMPUTED_VALUE"""),"not available")</f>
        <v>not available</v>
      </c>
      <c r="G3" s="2" t="str">
        <f ca="1">IFERROR(__xludf.DUMMYFUNCTION("""COMPUTED_VALUE"""),"Sampling, communities isolation, identification and characterization throught morphological, physiological and molecular approaches; production of microbial biomass and inocula")</f>
        <v>Sampling, communities isolation, identification and characterization throught morphological, physiological and molecular approaches; production of microbial biomass and inocula</v>
      </c>
      <c r="H3" s="2"/>
      <c r="I3" s="2"/>
      <c r="J3" s="2"/>
    </row>
    <row r="4" spans="1:26" x14ac:dyDescent="0.2">
      <c r="A4" s="2" t="str">
        <f ca="1">IFERROR(__xludf.DUMMYFUNCTION("""COMPUTED_VALUE"""),"UNITUS")</f>
        <v>UNITUS</v>
      </c>
      <c r="B4" s="2" t="str">
        <f ca="1">IFERROR(__xludf.DUMMYFUNCTION("""COMPUTED_VALUE"""),"Biological resources")</f>
        <v>Biological resources</v>
      </c>
      <c r="C4" s="2" t="str">
        <f ca="1">IFERROR(__xludf.DUMMYFUNCTION("""COMPUTED_VALUE"""),"Rearing of aquaculture animals")</f>
        <v>Rearing of aquaculture animals</v>
      </c>
      <c r="D4" s="2" t="str">
        <f ca="1">IFERROR(__xludf.DUMMYFUNCTION("""COMPUTED_VALUE"""),"Experimental aquaculture, including crustacean hatchery")</f>
        <v>Experimental aquaculture, including crustacean hatchery</v>
      </c>
      <c r="E4" s="2" t="str">
        <f ca="1">IFERROR(__xludf.DUMMYFUNCTION("""COMPUTED_VALUE"""),"on-site")</f>
        <v>on-site</v>
      </c>
      <c r="F4" s="2" t="str">
        <f ca="1">IFERROR(__xludf.DUMMYFUNCTION("""COMPUTED_VALUE"""),"available")</f>
        <v>available</v>
      </c>
      <c r="G4" s="2" t="str">
        <f ca="1">IFERROR(__xludf.DUMMYFUNCTION("""COMPUTED_VALUE"""),"Rearing and manipulation of fish, crustaceans and molluscs. Outdoor facilities: 5 raceway tanks, marine water. Indoor facilities: 1) RAS (Recirculating Aquaculture System) 13m3 overall: 6 squared tanks 1000 l , 5 up-wellers tanks 200 l, 2 collector tanks "&amp;"3000 l, Foam-fractionator for DOM (Dissolved Organic Matter), MBBR unit (moving bed biofilter reactor); 2) RAS 9 m3 overall: 2 tanks 4000 l, with sand filters and MBBR unit; 3) 12 tanks squared shaped 1000 l. Hatchery facilities: AquaHive (up to 11.000 cr"&amp;"ustacean larvae) specifically designed for lobsters; 3 sets for hatchery and growth of brine shrimps or rotifers. Phyto- and Zooplankton production bioreactors.")</f>
        <v>Rearing and manipulation of fish, crustaceans and molluscs. Outdoor facilities: 5 raceway tanks, marine water. Indoor facilities: 1) RAS (Recirculating Aquaculture System) 13m3 overall: 6 squared tanks 1000 l , 5 up-wellers tanks 200 l, 2 collector tanks 3000 l, Foam-fractionator for DOM (Dissolved Organic Matter), MBBR unit (moving bed biofilter reactor); 2) RAS 9 m3 overall: 2 tanks 4000 l, with sand filters and MBBR unit; 3) 12 tanks squared shaped 1000 l. Hatchery facilities: AquaHive (up to 11.000 crustacean larvae) specifically designed for lobsters; 3 sets for hatchery and growth of brine shrimps or rotifers. Phyto- and Zooplankton production bioreactors.</v>
      </c>
      <c r="H4" s="2"/>
      <c r="I4" s="2" t="str">
        <f ca="1">IFERROR(__xludf.DUMMYFUNCTION("""COMPUTED_VALUE"""),"CISMAR")</f>
        <v>CISMAR</v>
      </c>
      <c r="J4" s="2" t="str">
        <f ca="1">IFERROR(__xludf.DUMMYFUNCTION("""COMPUTED_VALUE"""),"NOT COSTED")</f>
        <v>NOT COSTED</v>
      </c>
    </row>
    <row r="5" spans="1:26" x14ac:dyDescent="0.2">
      <c r="A5" s="2" t="str">
        <f ca="1">IFERROR(__xludf.DUMMYFUNCTION("""COMPUTED_VALUE"""),"UNITUS")</f>
        <v>UNITUS</v>
      </c>
      <c r="B5" s="2" t="str">
        <f ca="1">IFERROR(__xludf.DUMMYFUNCTION("""COMPUTED_VALUE"""),"Technology platforms")</f>
        <v>Technology platforms</v>
      </c>
      <c r="C5" s="2" t="str">
        <f ca="1">IFERROR(__xludf.DUMMYFUNCTION("""COMPUTED_VALUE"""),"Molecular biology and omics")</f>
        <v>Molecular biology and omics</v>
      </c>
      <c r="D5" s="2" t="str">
        <f ca="1">IFERROR(__xludf.DUMMYFUNCTION("""COMPUTED_VALUE"""),"Lab of molecular ecology, molecular parasitology and e-DNA")</f>
        <v>Lab of molecular ecology, molecular parasitology and e-DNA</v>
      </c>
      <c r="E5" s="2" t="str">
        <f ca="1">IFERROR(__xludf.DUMMYFUNCTION("""COMPUTED_VALUE"""),"on-site")</f>
        <v>on-site</v>
      </c>
      <c r="F5" s="2" t="str">
        <f ca="1">IFERROR(__xludf.DUMMYFUNCTION("""COMPUTED_VALUE"""),"not available")</f>
        <v>not available</v>
      </c>
      <c r="G5" s="2" t="str">
        <f ca="1">IFERROR(__xludf.DUMMYFUNCTION("""COMPUTED_VALUE"""),"Dissection laboratory for sampling tissues and parasites fully equipped including stereomicroscopes. Molecular ecology lab fully furnished for DNA estraction and PCR amplification from metazoans and microorganisms. Genomic libraries. e-DNA sampling from s"&amp;"eawater; e-DNA characterization")</f>
        <v>Dissection laboratory for sampling tissues and parasites fully equipped including stereomicroscopes. Molecular ecology lab fully furnished for DNA estraction and PCR amplification from metazoans and microorganisms. Genomic libraries. e-DNA sampling from seawater; e-DNA characterization</v>
      </c>
      <c r="H5" s="2"/>
      <c r="I5" s="2" t="str">
        <f ca="1">IFERROR(__xludf.DUMMYFUNCTION("""COMPUTED_VALUE"""),"CISMAR")</f>
        <v>CISMAR</v>
      </c>
      <c r="J5" s="2"/>
    </row>
    <row r="6" spans="1:26" x14ac:dyDescent="0.2">
      <c r="A6" s="2" t="str">
        <f ca="1">IFERROR(__xludf.DUMMYFUNCTION("""COMPUTED_VALUE"""),"UNITUS")</f>
        <v>UNITUS</v>
      </c>
      <c r="B6" s="2" t="str">
        <f ca="1">IFERROR(__xludf.DUMMYFUNCTION("""COMPUTED_VALUE"""),"Experimental facilities")</f>
        <v>Experimental facilities</v>
      </c>
      <c r="C6" s="2" t="str">
        <f ca="1">IFERROR(__xludf.DUMMYFUNCTION("""COMPUTED_VALUE"""),"Mesocosms")</f>
        <v>Mesocosms</v>
      </c>
      <c r="D6" s="2" t="str">
        <f ca="1">IFERROR(__xludf.DUMMYFUNCTION("""COMPUTED_VALUE"""),"Laboratory of ethological studies")</f>
        <v>Laboratory of ethological studies</v>
      </c>
      <c r="E6" s="2" t="str">
        <f ca="1">IFERROR(__xludf.DUMMYFUNCTION("""COMPUTED_VALUE"""),"on-site")</f>
        <v>on-site</v>
      </c>
      <c r="F6" s="2" t="str">
        <f ca="1">IFERROR(__xludf.DUMMYFUNCTION("""COMPUTED_VALUE"""),"not available")</f>
        <v>not available</v>
      </c>
      <c r="G6" s="2" t="str">
        <f ca="1">IFERROR(__xludf.DUMMYFUNCTION("""COMPUTED_VALUE"""),"2 oval tanks m 6x2x1 with counter current swimming system for ethological studies; 12 tanks 60 l each, fully equipped, may work as sigle or fractioned units (1, 3, 6, 12). Ethovision system to study individual behaviour and social interactions in marine a"&amp;"nimals (crustaceans, cephalopods, fish)")</f>
        <v>2 oval tanks m 6x2x1 with counter current swimming system for ethological studies; 12 tanks 60 l each, fully equipped, may work as sigle or fractioned units (1, 3, 6, 12). Ethovision system to study individual behaviour and social interactions in marine animals (crustaceans, cephalopods, fish)</v>
      </c>
      <c r="H6" s="2"/>
      <c r="I6" s="2" t="str">
        <f ca="1">IFERROR(__xludf.DUMMYFUNCTION("""COMPUTED_VALUE"""),"CISMAR")</f>
        <v>CISMAR</v>
      </c>
      <c r="J6" s="2"/>
    </row>
    <row r="7" spans="1:26" x14ac:dyDescent="0.2">
      <c r="A7" s="2" t="str">
        <f ca="1">IFERROR(__xludf.DUMMYFUNCTION("""COMPUTED_VALUE"""),"UNITUS")</f>
        <v>UNITUS</v>
      </c>
      <c r="B7" s="2" t="str">
        <f ca="1">IFERROR(__xludf.DUMMYFUNCTION("""COMPUTED_VALUE"""),"Technology platforms")</f>
        <v>Technology platforms</v>
      </c>
      <c r="C7" s="2" t="str">
        <f ca="1">IFERROR(__xludf.DUMMYFUNCTION("""COMPUTED_VALUE"""),"Remote sensing and telemetry")</f>
        <v>Remote sensing and telemetry</v>
      </c>
      <c r="D7" s="2" t="str">
        <f ca="1">IFERROR(__xludf.DUMMYFUNCTION("""COMPUTED_VALUE"""),"Oceanography Laboratory")</f>
        <v>Oceanography Laboratory</v>
      </c>
      <c r="E7" s="2" t="str">
        <f ca="1">IFERROR(__xludf.DUMMYFUNCTION("""COMPUTED_VALUE"""),"on-site")</f>
        <v>on-site</v>
      </c>
      <c r="F7" s="2" t="str">
        <f ca="1">IFERROR(__xludf.DUMMYFUNCTION("""COMPUTED_VALUE"""),"not available")</f>
        <v>not available</v>
      </c>
      <c r="G7" s="2" t="str">
        <f ca="1">IFERROR(__xludf.DUMMYFUNCTION("""COMPUTED_VALUE"""),"High coastal resolution models, oceanographic modelling, remote sensing data analysis, GIS Biocoenosis and Ecosystem Services Maps")</f>
        <v>High coastal resolution models, oceanographic modelling, remote sensing data analysis, GIS Biocoenosis and Ecosystem Services Maps</v>
      </c>
      <c r="H7" s="2"/>
      <c r="I7" s="2" t="str">
        <f ca="1">IFERROR(__xludf.DUMMYFUNCTION("""COMPUTED_VALUE"""),"LOSEM")</f>
        <v>LOSEM</v>
      </c>
      <c r="J7" s="2"/>
    </row>
    <row r="8" spans="1:26" x14ac:dyDescent="0.2">
      <c r="A8" s="2"/>
      <c r="B8" s="2"/>
      <c r="C8" s="2"/>
      <c r="D8" s="2"/>
      <c r="E8" s="2"/>
      <c r="F8" s="2"/>
      <c r="G8" s="2"/>
      <c r="H8" s="2"/>
      <c r="I8" s="2"/>
      <c r="J8" s="2"/>
    </row>
    <row r="9" spans="1:26" x14ac:dyDescent="0.2">
      <c r="A9" s="2"/>
      <c r="B9" s="2"/>
      <c r="C9" s="2"/>
      <c r="D9" s="2"/>
      <c r="E9" s="2"/>
      <c r="F9" s="2"/>
      <c r="G9" s="2"/>
      <c r="H9" s="2"/>
      <c r="I9" s="2"/>
      <c r="J9" s="2"/>
    </row>
    <row r="10" spans="1:26" x14ac:dyDescent="0.2">
      <c r="A10" s="2"/>
      <c r="B10" s="2"/>
      <c r="C10" s="2"/>
      <c r="D10" s="2"/>
      <c r="E10" s="2"/>
      <c r="F10" s="2"/>
      <c r="G10" s="2"/>
      <c r="H10" s="2"/>
      <c r="I10" s="2"/>
      <c r="J10" s="2"/>
    </row>
    <row r="11" spans="1:26" x14ac:dyDescent="0.2">
      <c r="A11" s="2"/>
      <c r="B11" s="2"/>
      <c r="C11" s="2"/>
      <c r="D11" s="2"/>
      <c r="E11" s="2"/>
      <c r="F11" s="2"/>
      <c r="G11" s="2"/>
      <c r="H11" s="2"/>
      <c r="I11" s="2"/>
      <c r="J11" s="2"/>
    </row>
    <row r="12" spans="1:26" x14ac:dyDescent="0.2">
      <c r="A12" s="2"/>
      <c r="B12" s="2"/>
      <c r="C12" s="2"/>
      <c r="D12" s="2"/>
      <c r="E12" s="2"/>
      <c r="F12" s="2"/>
      <c r="G12" s="2"/>
      <c r="H12" s="2"/>
      <c r="I12" s="2"/>
      <c r="J12" s="2"/>
    </row>
    <row r="13" spans="1:26" x14ac:dyDescent="0.2">
      <c r="A13" s="2"/>
      <c r="B13" s="2"/>
      <c r="C13" s="2"/>
      <c r="D13" s="2"/>
      <c r="E13" s="2"/>
      <c r="F13" s="2"/>
      <c r="G13" s="2"/>
      <c r="H13" s="2"/>
      <c r="I13" s="2"/>
      <c r="J13" s="2"/>
    </row>
    <row r="14" spans="1:26" x14ac:dyDescent="0.2">
      <c r="A14" s="2"/>
      <c r="B14" s="2"/>
      <c r="C14" s="2"/>
      <c r="D14" s="2"/>
      <c r="E14" s="2"/>
      <c r="F14" s="2"/>
      <c r="G14" s="2"/>
      <c r="H14" s="2"/>
      <c r="I14" s="2"/>
      <c r="J14" s="2"/>
    </row>
    <row r="15" spans="1:26" x14ac:dyDescent="0.2">
      <c r="A15" s="2"/>
      <c r="B15" s="2"/>
      <c r="C15" s="2"/>
      <c r="D15" s="2"/>
      <c r="E15" s="2"/>
      <c r="F15" s="2"/>
      <c r="G15" s="2"/>
      <c r="H15" s="2"/>
      <c r="I15" s="2"/>
      <c r="J15" s="2"/>
    </row>
    <row r="16" spans="1:26" x14ac:dyDescent="0.2">
      <c r="A16" s="2"/>
      <c r="B16" s="2"/>
      <c r="C16" s="2"/>
      <c r="D16" s="2"/>
      <c r="E16" s="2"/>
      <c r="F16" s="2"/>
      <c r="G16" s="2"/>
      <c r="H16" s="2"/>
      <c r="I16" s="2"/>
      <c r="J16" s="2"/>
    </row>
    <row r="17" spans="1:10" x14ac:dyDescent="0.2">
      <c r="A17" s="2"/>
      <c r="B17" s="2"/>
      <c r="C17" s="2"/>
      <c r="D17" s="2"/>
      <c r="E17" s="2"/>
      <c r="F17" s="2"/>
      <c r="G17" s="2"/>
      <c r="H17" s="2"/>
      <c r="I17" s="2"/>
      <c r="J17" s="2"/>
    </row>
    <row r="18" spans="1:10" x14ac:dyDescent="0.2">
      <c r="A18" s="2"/>
      <c r="B18" s="2"/>
      <c r="C18" s="2"/>
      <c r="D18" s="2"/>
      <c r="E18" s="2"/>
      <c r="F18" s="2"/>
      <c r="G18" s="2"/>
      <c r="H18" s="2"/>
      <c r="I18" s="2"/>
      <c r="J18" s="2"/>
    </row>
    <row r="19" spans="1:10" x14ac:dyDescent="0.2">
      <c r="A19" s="2"/>
      <c r="B19" s="2"/>
      <c r="C19" s="2"/>
      <c r="D19" s="2"/>
      <c r="E19" s="2"/>
      <c r="F19" s="2"/>
      <c r="G19" s="2"/>
      <c r="H19" s="2"/>
      <c r="I19" s="2"/>
      <c r="J19" s="2"/>
    </row>
    <row r="20" spans="1:10" x14ac:dyDescent="0.2">
      <c r="A20" s="2"/>
      <c r="B20" s="2"/>
      <c r="C20" s="2"/>
      <c r="D20" s="2"/>
      <c r="E20" s="2"/>
      <c r="F20" s="2"/>
      <c r="G20" s="2"/>
      <c r="H20" s="2"/>
      <c r="I20" s="2"/>
      <c r="J20" s="2"/>
    </row>
    <row r="21" spans="1:10" x14ac:dyDescent="0.2">
      <c r="A21" s="2"/>
      <c r="B21" s="2"/>
      <c r="C21" s="2"/>
      <c r="D21" s="2"/>
      <c r="E21" s="2"/>
      <c r="F21" s="2"/>
      <c r="G21" s="2"/>
      <c r="H21" s="2"/>
      <c r="I21" s="2"/>
      <c r="J21" s="2"/>
    </row>
    <row r="22" spans="1:10" x14ac:dyDescent="0.2">
      <c r="A22" s="2"/>
      <c r="B22" s="2"/>
      <c r="C22" s="2"/>
      <c r="D22" s="2"/>
      <c r="E22" s="2"/>
      <c r="F22" s="2"/>
      <c r="G22" s="2"/>
      <c r="H22" s="2"/>
      <c r="I22" s="2"/>
      <c r="J22" s="2"/>
    </row>
    <row r="23" spans="1:10" x14ac:dyDescent="0.2">
      <c r="A23" s="2"/>
      <c r="B23" s="2"/>
      <c r="C23" s="2"/>
      <c r="D23" s="2"/>
      <c r="E23" s="2"/>
      <c r="F23" s="2"/>
      <c r="G23" s="2"/>
      <c r="H23" s="2"/>
      <c r="I23" s="2"/>
      <c r="J23" s="2"/>
    </row>
    <row r="24" spans="1:10" x14ac:dyDescent="0.2">
      <c r="A24" s="2"/>
      <c r="B24" s="2"/>
      <c r="C24" s="2"/>
      <c r="D24" s="2"/>
      <c r="E24" s="2"/>
      <c r="F24" s="2"/>
      <c r="G24" s="2"/>
      <c r="H24" s="2"/>
      <c r="I24" s="2"/>
      <c r="J24" s="2"/>
    </row>
    <row r="25" spans="1:10" x14ac:dyDescent="0.2">
      <c r="A25" s="2"/>
      <c r="B25" s="2"/>
      <c r="C25" s="2"/>
      <c r="D25" s="2"/>
      <c r="E25" s="2"/>
      <c r="F25" s="2"/>
      <c r="G25" s="2"/>
      <c r="H25" s="2"/>
      <c r="I25" s="2"/>
      <c r="J25" s="2"/>
    </row>
    <row r="26" spans="1:10" x14ac:dyDescent="0.2">
      <c r="A26" s="2"/>
      <c r="B26" s="2"/>
      <c r="C26" s="2"/>
      <c r="D26" s="2"/>
      <c r="E26" s="2"/>
      <c r="F26" s="2"/>
      <c r="G26" s="2"/>
      <c r="H26" s="2"/>
      <c r="I26" s="2"/>
      <c r="J26" s="2"/>
    </row>
    <row r="27" spans="1:10" x14ac:dyDescent="0.2">
      <c r="A27" s="2"/>
      <c r="B27" s="2"/>
      <c r="C27" s="2"/>
      <c r="D27" s="2"/>
      <c r="E27" s="2"/>
      <c r="F27" s="2"/>
      <c r="G27" s="2"/>
      <c r="H27" s="2"/>
      <c r="I27" s="2"/>
      <c r="J27" s="2"/>
    </row>
    <row r="28" spans="1:10" x14ac:dyDescent="0.2">
      <c r="A28" s="2"/>
      <c r="B28" s="2"/>
      <c r="C28" s="2"/>
      <c r="D28" s="2"/>
      <c r="E28" s="2"/>
      <c r="F28" s="2"/>
      <c r="G28" s="2"/>
      <c r="H28" s="2"/>
      <c r="I28" s="2"/>
      <c r="J28" s="2"/>
    </row>
    <row r="29" spans="1:10" x14ac:dyDescent="0.2">
      <c r="A29" s="2"/>
      <c r="B29" s="2"/>
      <c r="C29" s="2"/>
      <c r="D29" s="2"/>
      <c r="E29" s="2"/>
      <c r="F29" s="2"/>
      <c r="G29" s="2"/>
      <c r="H29" s="2"/>
      <c r="I29" s="2"/>
      <c r="J29" s="2"/>
    </row>
    <row r="30" spans="1:10" x14ac:dyDescent="0.2">
      <c r="A30" s="2"/>
      <c r="B30" s="2"/>
      <c r="C30" s="2"/>
      <c r="D30" s="2"/>
      <c r="E30" s="2"/>
      <c r="F30" s="2"/>
      <c r="G30" s="2"/>
      <c r="H30" s="2"/>
      <c r="I30" s="2"/>
      <c r="J30" s="2"/>
    </row>
    <row r="31" spans="1:10" x14ac:dyDescent="0.2">
      <c r="A31" s="2"/>
      <c r="B31" s="2"/>
      <c r="C31" s="2"/>
      <c r="D31" s="2"/>
      <c r="E31" s="2"/>
      <c r="F31" s="2"/>
      <c r="G31" s="2"/>
      <c r="H31" s="2"/>
      <c r="I31" s="2"/>
      <c r="J31" s="2"/>
    </row>
    <row r="32" spans="1:10" x14ac:dyDescent="0.2">
      <c r="A32" s="2"/>
      <c r="B32" s="2"/>
      <c r="C32" s="2"/>
      <c r="D32" s="2"/>
      <c r="E32" s="2"/>
      <c r="F32" s="2"/>
      <c r="G32" s="2"/>
      <c r="H32" s="2"/>
      <c r="I32" s="2"/>
      <c r="J32" s="2"/>
    </row>
    <row r="33" spans="1:10" x14ac:dyDescent="0.2">
      <c r="A33" s="2"/>
      <c r="B33" s="2"/>
      <c r="C33" s="2"/>
      <c r="D33" s="2"/>
      <c r="E33" s="2"/>
      <c r="F33" s="2"/>
      <c r="G33" s="2"/>
      <c r="H33" s="2"/>
      <c r="I33" s="2"/>
      <c r="J33" s="2"/>
    </row>
    <row r="34" spans="1:10" x14ac:dyDescent="0.2">
      <c r="A34" s="2"/>
      <c r="B34" s="2"/>
      <c r="C34" s="2"/>
      <c r="D34" s="2"/>
      <c r="E34" s="2"/>
      <c r="F34" s="2"/>
      <c r="G34" s="2"/>
      <c r="H34" s="2"/>
      <c r="I34" s="2"/>
      <c r="J34" s="2"/>
    </row>
    <row r="35" spans="1:10" x14ac:dyDescent="0.2">
      <c r="A35" s="2"/>
      <c r="B35" s="2"/>
      <c r="C35" s="2"/>
      <c r="D35" s="2"/>
      <c r="E35" s="2"/>
      <c r="F35" s="2"/>
      <c r="G35" s="2"/>
      <c r="H35" s="2"/>
      <c r="I35" s="2"/>
      <c r="J35" s="2"/>
    </row>
    <row r="36" spans="1:10" x14ac:dyDescent="0.2">
      <c r="A36" s="2"/>
      <c r="B36" s="2"/>
      <c r="C36" s="2"/>
      <c r="D36" s="2"/>
      <c r="E36" s="2"/>
      <c r="F36" s="2"/>
      <c r="G36" s="2"/>
      <c r="H36" s="2"/>
      <c r="I36" s="2"/>
      <c r="J36" s="2"/>
    </row>
    <row r="37" spans="1:10" x14ac:dyDescent="0.2">
      <c r="A37" s="2"/>
      <c r="B37" s="2"/>
      <c r="C37" s="2"/>
      <c r="D37" s="2"/>
      <c r="E37" s="2"/>
      <c r="F37" s="2"/>
      <c r="G37" s="2"/>
      <c r="H37" s="2"/>
      <c r="I37" s="2"/>
      <c r="J37" s="2"/>
    </row>
    <row r="38" spans="1:10" x14ac:dyDescent="0.2">
      <c r="A38" s="2"/>
      <c r="B38" s="2"/>
      <c r="C38" s="2"/>
      <c r="D38" s="2"/>
      <c r="E38" s="2"/>
      <c r="F38" s="2"/>
      <c r="G38" s="2"/>
      <c r="H38" s="2"/>
      <c r="I38" s="2"/>
      <c r="J38" s="2"/>
    </row>
    <row r="39" spans="1:10" x14ac:dyDescent="0.2">
      <c r="A39" s="2"/>
      <c r="B39" s="2"/>
      <c r="C39" s="2"/>
      <c r="D39" s="2"/>
      <c r="E39" s="2"/>
      <c r="F39" s="2"/>
      <c r="G39" s="2"/>
      <c r="H39" s="2"/>
      <c r="I39" s="2"/>
      <c r="J39" s="2"/>
    </row>
    <row r="40" spans="1:10" x14ac:dyDescent="0.2">
      <c r="A40" s="2"/>
      <c r="B40" s="2"/>
      <c r="C40" s="2"/>
      <c r="D40" s="2"/>
      <c r="E40" s="2"/>
      <c r="F40" s="2"/>
      <c r="G40" s="2"/>
      <c r="H40" s="2"/>
      <c r="I40" s="2"/>
      <c r="J40" s="2"/>
    </row>
    <row r="41" spans="1:10" x14ac:dyDescent="0.2">
      <c r="A41" s="2"/>
      <c r="B41" s="2"/>
      <c r="C41" s="2"/>
      <c r="D41" s="2"/>
      <c r="E41" s="2"/>
      <c r="F41" s="2"/>
      <c r="G41" s="2"/>
      <c r="H41" s="2"/>
      <c r="I41" s="2"/>
      <c r="J41" s="2"/>
    </row>
    <row r="42" spans="1:10" x14ac:dyDescent="0.2">
      <c r="A42" s="2"/>
      <c r="B42" s="2"/>
      <c r="C42" s="2"/>
      <c r="D42" s="2"/>
      <c r="E42" s="2"/>
      <c r="F42" s="2"/>
      <c r="G42" s="2"/>
      <c r="H42" s="2"/>
      <c r="I42" s="2"/>
      <c r="J42" s="2"/>
    </row>
    <row r="43" spans="1:10" x14ac:dyDescent="0.2">
      <c r="A43" s="2"/>
      <c r="B43" s="2"/>
      <c r="C43" s="2"/>
      <c r="D43" s="2"/>
      <c r="E43" s="2"/>
      <c r="F43" s="2"/>
      <c r="G43" s="2"/>
      <c r="H43" s="2"/>
      <c r="I43" s="2"/>
      <c r="J43" s="2"/>
    </row>
    <row r="44" spans="1:10" x14ac:dyDescent="0.2">
      <c r="A44" s="2"/>
      <c r="B44" s="2"/>
      <c r="C44" s="2"/>
      <c r="D44" s="2"/>
      <c r="E44" s="2"/>
      <c r="F44" s="2"/>
      <c r="G44" s="2"/>
      <c r="H44" s="2"/>
      <c r="I44" s="2"/>
      <c r="J44" s="2"/>
    </row>
    <row r="45" spans="1:10" x14ac:dyDescent="0.2">
      <c r="A45" s="2"/>
      <c r="B45" s="2"/>
      <c r="C45" s="2"/>
      <c r="D45" s="2"/>
      <c r="E45" s="2"/>
      <c r="F45" s="2"/>
      <c r="G45" s="2"/>
      <c r="H45" s="2"/>
      <c r="I45" s="2"/>
      <c r="J45" s="2"/>
    </row>
    <row r="46" spans="1:10" x14ac:dyDescent="0.2">
      <c r="A46" s="2"/>
      <c r="B46" s="2"/>
      <c r="C46" s="2"/>
      <c r="D46" s="2"/>
      <c r="E46" s="2"/>
      <c r="F46" s="2"/>
      <c r="G46" s="2"/>
      <c r="H46" s="2"/>
      <c r="I46" s="2"/>
      <c r="J46" s="2"/>
    </row>
    <row r="47" spans="1:10" x14ac:dyDescent="0.2">
      <c r="A47" s="2"/>
      <c r="B47" s="2"/>
      <c r="C47" s="2"/>
      <c r="D47" s="2"/>
      <c r="E47" s="2"/>
      <c r="F47" s="2"/>
      <c r="G47" s="2"/>
      <c r="H47" s="2"/>
      <c r="I47" s="2"/>
      <c r="J47" s="2"/>
    </row>
    <row r="48" spans="1:10" x14ac:dyDescent="0.2">
      <c r="A48" s="2"/>
      <c r="B48" s="2"/>
      <c r="C48" s="2"/>
      <c r="D48" s="2"/>
      <c r="E48" s="2"/>
      <c r="F48" s="2"/>
      <c r="G48" s="2"/>
      <c r="H48" s="2"/>
      <c r="I48" s="2"/>
      <c r="J48" s="2"/>
    </row>
    <row r="49" spans="1:10" x14ac:dyDescent="0.2">
      <c r="A49" s="2"/>
      <c r="B49" s="2"/>
      <c r="C49" s="2"/>
      <c r="D49" s="2"/>
      <c r="E49" s="2"/>
      <c r="F49" s="2"/>
      <c r="G49" s="2"/>
      <c r="H49" s="2"/>
      <c r="I49" s="2"/>
      <c r="J49" s="2"/>
    </row>
    <row r="50" spans="1:10" x14ac:dyDescent="0.2">
      <c r="A50" s="2"/>
      <c r="B50" s="2"/>
      <c r="C50" s="2"/>
      <c r="D50" s="2"/>
      <c r="E50" s="2"/>
      <c r="F50" s="2"/>
      <c r="G50" s="2"/>
      <c r="H50" s="2"/>
      <c r="I50" s="2"/>
      <c r="J50" s="2"/>
    </row>
    <row r="51" spans="1:10" x14ac:dyDescent="0.2">
      <c r="A51" s="2"/>
      <c r="B51" s="2"/>
      <c r="C51" s="2"/>
      <c r="D51" s="2"/>
      <c r="E51" s="2"/>
      <c r="F51" s="2"/>
      <c r="G51" s="2"/>
      <c r="H51" s="2"/>
      <c r="I51" s="2"/>
      <c r="J51" s="2"/>
    </row>
    <row r="52" spans="1:10" x14ac:dyDescent="0.2">
      <c r="A52" s="2"/>
      <c r="B52" s="2"/>
      <c r="C52" s="2"/>
      <c r="D52" s="2"/>
      <c r="E52" s="2"/>
      <c r="F52" s="2"/>
      <c r="G52" s="2"/>
      <c r="H52" s="2"/>
      <c r="I52" s="2"/>
      <c r="J52" s="2"/>
    </row>
    <row r="53" spans="1:10" x14ac:dyDescent="0.2">
      <c r="A53" s="2"/>
      <c r="B53" s="2"/>
      <c r="C53" s="2"/>
      <c r="D53" s="2"/>
      <c r="E53" s="2"/>
      <c r="F53" s="2"/>
      <c r="G53" s="2"/>
      <c r="H53" s="2"/>
      <c r="I53" s="2"/>
      <c r="J53" s="2"/>
    </row>
    <row r="54" spans="1:10" x14ac:dyDescent="0.2">
      <c r="A54" s="2"/>
      <c r="B54" s="2"/>
      <c r="C54" s="2"/>
      <c r="D54" s="2"/>
      <c r="E54" s="2"/>
      <c r="F54" s="2"/>
      <c r="G54" s="2"/>
      <c r="H54" s="2"/>
      <c r="I54" s="2"/>
      <c r="J54" s="2"/>
    </row>
    <row r="55" spans="1:10" x14ac:dyDescent="0.2">
      <c r="A55" s="2"/>
      <c r="B55" s="2"/>
      <c r="C55" s="2"/>
      <c r="D55" s="2"/>
      <c r="E55" s="2"/>
      <c r="F55" s="2"/>
      <c r="G55" s="2"/>
      <c r="H55" s="2"/>
      <c r="I55" s="2"/>
      <c r="J55" s="2"/>
    </row>
    <row r="56" spans="1:10" x14ac:dyDescent="0.2">
      <c r="A56" s="2"/>
      <c r="B56" s="2"/>
      <c r="C56" s="2"/>
      <c r="D56" s="2"/>
      <c r="E56" s="2"/>
      <c r="F56" s="2"/>
      <c r="G56" s="2"/>
      <c r="H56" s="2"/>
      <c r="I56" s="2"/>
      <c r="J56" s="2"/>
    </row>
    <row r="57" spans="1:10" x14ac:dyDescent="0.2">
      <c r="A57" s="2"/>
      <c r="B57" s="2"/>
      <c r="C57" s="2"/>
      <c r="D57" s="2"/>
      <c r="E57" s="2"/>
      <c r="F57" s="2"/>
      <c r="G57" s="2"/>
      <c r="H57" s="2"/>
      <c r="I57" s="2"/>
      <c r="J57" s="2"/>
    </row>
    <row r="58" spans="1:10" x14ac:dyDescent="0.2">
      <c r="A58" s="2"/>
      <c r="B58" s="2"/>
      <c r="C58" s="2"/>
      <c r="D58" s="2"/>
      <c r="E58" s="2"/>
      <c r="F58" s="2"/>
      <c r="G58" s="2"/>
      <c r="H58" s="2"/>
      <c r="I58" s="2"/>
      <c r="J58" s="2"/>
    </row>
    <row r="59" spans="1:10" x14ac:dyDescent="0.2">
      <c r="A59" s="2"/>
      <c r="B59" s="2"/>
      <c r="C59" s="2"/>
      <c r="D59" s="2"/>
      <c r="E59" s="2"/>
      <c r="F59" s="2"/>
      <c r="G59" s="2"/>
      <c r="H59" s="2"/>
      <c r="I59" s="2"/>
      <c r="J59" s="2"/>
    </row>
    <row r="60" spans="1:10" x14ac:dyDescent="0.2">
      <c r="A60" s="2"/>
      <c r="B60" s="2"/>
      <c r="C60" s="2"/>
      <c r="D60" s="2"/>
      <c r="E60" s="2"/>
      <c r="F60" s="2"/>
      <c r="G60" s="2"/>
      <c r="H60" s="2"/>
      <c r="I60" s="2"/>
      <c r="J60" s="2"/>
    </row>
    <row r="61" spans="1:10" x14ac:dyDescent="0.2">
      <c r="A61" s="2"/>
      <c r="B61" s="2"/>
      <c r="C61" s="2"/>
      <c r="D61" s="2"/>
      <c r="E61" s="2"/>
      <c r="F61" s="2"/>
      <c r="G61" s="2"/>
      <c r="H61" s="2"/>
      <c r="I61" s="2"/>
      <c r="J61" s="2"/>
    </row>
    <row r="62" spans="1:10" x14ac:dyDescent="0.2">
      <c r="A62" s="2"/>
      <c r="B62" s="2"/>
      <c r="C62" s="2"/>
      <c r="D62" s="2"/>
      <c r="E62" s="2"/>
      <c r="F62" s="2"/>
      <c r="G62" s="2"/>
      <c r="H62" s="2"/>
      <c r="I62" s="2"/>
      <c r="J62" s="2"/>
    </row>
    <row r="63" spans="1:10" x14ac:dyDescent="0.2">
      <c r="A63" s="2"/>
      <c r="B63" s="2"/>
      <c r="C63" s="2"/>
      <c r="D63" s="2"/>
      <c r="E63" s="2"/>
      <c r="F63" s="2"/>
      <c r="G63" s="2"/>
      <c r="H63" s="2"/>
      <c r="I63" s="2"/>
      <c r="J63" s="2"/>
    </row>
    <row r="64" spans="1:10" x14ac:dyDescent="0.2">
      <c r="A64" s="2"/>
      <c r="B64" s="2"/>
      <c r="C64" s="2"/>
      <c r="D64" s="2"/>
      <c r="E64" s="2"/>
      <c r="F64" s="2"/>
      <c r="G64" s="2"/>
      <c r="H64" s="2"/>
      <c r="I64" s="2"/>
      <c r="J64" s="2"/>
    </row>
    <row r="65" spans="1:10" x14ac:dyDescent="0.2">
      <c r="A65" s="2"/>
      <c r="B65" s="2"/>
      <c r="C65" s="2"/>
      <c r="D65" s="2"/>
      <c r="E65" s="2"/>
      <c r="F65" s="2"/>
      <c r="G65" s="2"/>
      <c r="H65" s="2"/>
      <c r="I65" s="2"/>
      <c r="J65" s="2"/>
    </row>
    <row r="66" spans="1:10" x14ac:dyDescent="0.2">
      <c r="A66" s="2"/>
      <c r="B66" s="2"/>
      <c r="C66" s="2"/>
      <c r="D66" s="2"/>
      <c r="E66" s="2"/>
      <c r="F66" s="2"/>
      <c r="G66" s="2"/>
      <c r="H66" s="2"/>
      <c r="I66" s="2"/>
      <c r="J66" s="2"/>
    </row>
    <row r="67" spans="1:10" x14ac:dyDescent="0.2">
      <c r="A67" s="2"/>
      <c r="B67" s="2"/>
      <c r="C67" s="2"/>
      <c r="D67" s="2"/>
      <c r="E67" s="2"/>
      <c r="F67" s="2"/>
      <c r="G67" s="2"/>
      <c r="H67" s="2"/>
      <c r="I67" s="2"/>
      <c r="J67" s="2"/>
    </row>
    <row r="68" spans="1:10" x14ac:dyDescent="0.2">
      <c r="A68" s="2"/>
      <c r="B68" s="2"/>
      <c r="C68" s="2"/>
      <c r="D68" s="2"/>
      <c r="E68" s="2"/>
      <c r="F68" s="2"/>
      <c r="G68" s="2"/>
      <c r="H68" s="2"/>
      <c r="I68" s="2"/>
      <c r="J68" s="2"/>
    </row>
    <row r="69" spans="1:10" x14ac:dyDescent="0.2">
      <c r="A69" s="2"/>
      <c r="B69" s="2"/>
      <c r="C69" s="2"/>
      <c r="D69" s="2"/>
      <c r="E69" s="2"/>
      <c r="F69" s="2"/>
      <c r="G69" s="2"/>
      <c r="H69" s="2"/>
      <c r="I69" s="2"/>
      <c r="J69" s="2"/>
    </row>
    <row r="70" spans="1:10" x14ac:dyDescent="0.2">
      <c r="A70" s="2"/>
      <c r="B70" s="2"/>
      <c r="C70" s="2"/>
      <c r="D70" s="2"/>
      <c r="E70" s="2"/>
      <c r="F70" s="2"/>
      <c r="G70" s="2"/>
      <c r="H70" s="2"/>
      <c r="I70" s="2"/>
      <c r="J70" s="2"/>
    </row>
    <row r="71" spans="1:10" x14ac:dyDescent="0.2">
      <c r="A71" s="2"/>
      <c r="B71" s="2"/>
      <c r="C71" s="2"/>
      <c r="D71" s="2"/>
      <c r="E71" s="2"/>
      <c r="F71" s="2"/>
      <c r="G71" s="2"/>
      <c r="H71" s="2"/>
      <c r="I71" s="2"/>
      <c r="J71" s="2"/>
    </row>
    <row r="72" spans="1:10" x14ac:dyDescent="0.2">
      <c r="A72" s="2"/>
      <c r="B72" s="2"/>
      <c r="C72" s="2"/>
      <c r="D72" s="2"/>
      <c r="E72" s="2"/>
      <c r="F72" s="2"/>
      <c r="G72" s="2"/>
      <c r="H72" s="2"/>
      <c r="I72" s="2"/>
      <c r="J72" s="2"/>
    </row>
    <row r="73" spans="1:10" x14ac:dyDescent="0.2">
      <c r="A73" s="2"/>
      <c r="B73" s="2"/>
      <c r="C73" s="2"/>
      <c r="D73" s="2"/>
      <c r="E73" s="2"/>
      <c r="F73" s="2"/>
      <c r="G73" s="2"/>
      <c r="H73" s="2"/>
      <c r="I73" s="2"/>
      <c r="J73" s="2"/>
    </row>
    <row r="74" spans="1:10" x14ac:dyDescent="0.2">
      <c r="A74" s="2"/>
      <c r="B74" s="2"/>
      <c r="C74" s="2"/>
      <c r="D74" s="2"/>
      <c r="E74" s="2"/>
      <c r="F74" s="2"/>
      <c r="G74" s="2"/>
      <c r="H74" s="2"/>
      <c r="I74" s="2"/>
      <c r="J74" s="2"/>
    </row>
    <row r="75" spans="1:10" x14ac:dyDescent="0.2">
      <c r="A75" s="2"/>
      <c r="B75" s="2"/>
      <c r="C75" s="2"/>
      <c r="D75" s="2"/>
      <c r="E75" s="2"/>
      <c r="F75" s="2"/>
      <c r="G75" s="2"/>
      <c r="H75" s="2"/>
      <c r="I75" s="2"/>
      <c r="J75" s="2"/>
    </row>
    <row r="76" spans="1:10" x14ac:dyDescent="0.2">
      <c r="A76" s="2"/>
      <c r="B76" s="2"/>
      <c r="C76" s="2"/>
      <c r="D76" s="2"/>
      <c r="E76" s="2"/>
      <c r="F76" s="2"/>
      <c r="G76" s="2"/>
      <c r="H76" s="2"/>
      <c r="I76" s="2"/>
      <c r="J76" s="2"/>
    </row>
    <row r="77" spans="1:10" x14ac:dyDescent="0.2">
      <c r="A77" s="2"/>
      <c r="B77" s="2"/>
      <c r="C77" s="2"/>
      <c r="D77" s="2"/>
      <c r="E77" s="2"/>
      <c r="F77" s="2"/>
      <c r="G77" s="2"/>
      <c r="H77" s="2"/>
      <c r="I77" s="2"/>
      <c r="J77" s="2"/>
    </row>
    <row r="78" spans="1:10" x14ac:dyDescent="0.2">
      <c r="A78" s="2"/>
      <c r="B78" s="2"/>
      <c r="C78" s="2"/>
      <c r="D78" s="2"/>
      <c r="E78" s="2"/>
      <c r="F78" s="2"/>
      <c r="G78" s="2"/>
      <c r="H78" s="2"/>
      <c r="I78" s="2"/>
      <c r="J78" s="2"/>
    </row>
    <row r="79" spans="1:10" x14ac:dyDescent="0.2">
      <c r="A79" s="2"/>
      <c r="B79" s="2"/>
      <c r="C79" s="2"/>
      <c r="D79" s="2"/>
      <c r="E79" s="2"/>
      <c r="F79" s="2"/>
      <c r="G79" s="2"/>
      <c r="H79" s="2"/>
      <c r="I79" s="2"/>
      <c r="J79" s="2"/>
    </row>
    <row r="80" spans="1:10" x14ac:dyDescent="0.2">
      <c r="A80" s="2"/>
      <c r="B80" s="2"/>
      <c r="C80" s="2"/>
      <c r="D80" s="2"/>
      <c r="E80" s="2"/>
      <c r="F80" s="2"/>
      <c r="G80" s="2"/>
      <c r="H80" s="2"/>
      <c r="I80" s="2"/>
      <c r="J80" s="2"/>
    </row>
    <row r="81" spans="1:10" x14ac:dyDescent="0.2">
      <c r="A81" s="2"/>
      <c r="B81" s="2"/>
      <c r="C81" s="2"/>
      <c r="D81" s="2"/>
      <c r="E81" s="2"/>
      <c r="F81" s="2"/>
      <c r="G81" s="2"/>
      <c r="H81" s="2"/>
      <c r="I81" s="2"/>
      <c r="J81" s="2"/>
    </row>
    <row r="82" spans="1:10" x14ac:dyDescent="0.2">
      <c r="A82" s="2"/>
      <c r="B82" s="2"/>
      <c r="C82" s="2"/>
      <c r="D82" s="2"/>
      <c r="E82" s="2"/>
      <c r="F82" s="2"/>
      <c r="G82" s="2"/>
      <c r="H82" s="2"/>
      <c r="I82" s="2"/>
      <c r="J82" s="2"/>
    </row>
    <row r="83" spans="1:10" x14ac:dyDescent="0.2">
      <c r="A83" s="2"/>
      <c r="B83" s="2"/>
      <c r="C83" s="2"/>
      <c r="D83" s="2"/>
      <c r="E83" s="2"/>
      <c r="F83" s="2"/>
      <c r="G83" s="2"/>
      <c r="H83" s="2"/>
      <c r="I83" s="2"/>
      <c r="J83" s="2"/>
    </row>
    <row r="84" spans="1:10" x14ac:dyDescent="0.2">
      <c r="A84" s="2"/>
      <c r="B84" s="2"/>
      <c r="C84" s="2"/>
      <c r="D84" s="2"/>
      <c r="E84" s="2"/>
      <c r="F84" s="2"/>
      <c r="G84" s="2"/>
      <c r="H84" s="2"/>
      <c r="I84" s="2"/>
      <c r="J84" s="2"/>
    </row>
    <row r="85" spans="1:10" x14ac:dyDescent="0.2">
      <c r="A85" s="2"/>
      <c r="B85" s="2"/>
      <c r="C85" s="2"/>
      <c r="D85" s="2"/>
      <c r="E85" s="2"/>
      <c r="F85" s="2"/>
      <c r="G85" s="2"/>
      <c r="H85" s="2"/>
      <c r="I85" s="2"/>
      <c r="J85" s="2"/>
    </row>
    <row r="86" spans="1:10" x14ac:dyDescent="0.2">
      <c r="A86" s="2"/>
      <c r="B86" s="2"/>
      <c r="C86" s="2"/>
      <c r="D86" s="2"/>
      <c r="E86" s="2"/>
      <c r="F86" s="2"/>
      <c r="G86" s="2"/>
      <c r="H86" s="2"/>
      <c r="I86" s="2"/>
      <c r="J86" s="2"/>
    </row>
    <row r="87" spans="1:10" x14ac:dyDescent="0.2">
      <c r="A87" s="2"/>
      <c r="B87" s="2"/>
      <c r="C87" s="2"/>
      <c r="D87" s="2"/>
      <c r="E87" s="2"/>
      <c r="F87" s="2"/>
      <c r="G87" s="2"/>
      <c r="H87" s="2"/>
      <c r="I87" s="2"/>
      <c r="J87" s="2"/>
    </row>
    <row r="88" spans="1:10" x14ac:dyDescent="0.2">
      <c r="A88" s="2"/>
      <c r="B88" s="2"/>
      <c r="C88" s="2"/>
      <c r="D88" s="2"/>
      <c r="E88" s="2"/>
      <c r="F88" s="2"/>
      <c r="G88" s="2"/>
      <c r="H88" s="2"/>
      <c r="I88" s="2"/>
      <c r="J88" s="2"/>
    </row>
    <row r="89" spans="1:10" x14ac:dyDescent="0.2">
      <c r="A89" s="2"/>
      <c r="B89" s="2"/>
      <c r="C89" s="2"/>
      <c r="D89" s="2"/>
      <c r="E89" s="2"/>
      <c r="F89" s="2"/>
      <c r="G89" s="2"/>
      <c r="H89" s="2"/>
      <c r="I89" s="2"/>
      <c r="J89" s="2"/>
    </row>
    <row r="90" spans="1:10" x14ac:dyDescent="0.2">
      <c r="A90" s="2"/>
      <c r="B90" s="2"/>
      <c r="C90" s="2"/>
      <c r="D90" s="2"/>
      <c r="E90" s="2"/>
      <c r="F90" s="2"/>
      <c r="G90" s="2"/>
      <c r="H90" s="2"/>
      <c r="I90" s="2"/>
      <c r="J90" s="2"/>
    </row>
    <row r="91" spans="1:10" x14ac:dyDescent="0.2">
      <c r="A91" s="2"/>
      <c r="B91" s="2"/>
      <c r="C91" s="2"/>
      <c r="D91" s="2"/>
      <c r="E91" s="2"/>
      <c r="F91" s="2"/>
      <c r="G91" s="2"/>
      <c r="H91" s="2"/>
      <c r="I91" s="2"/>
      <c r="J91" s="2"/>
    </row>
    <row r="92" spans="1:10" x14ac:dyDescent="0.2">
      <c r="A92" s="2"/>
      <c r="B92" s="2"/>
      <c r="C92" s="2"/>
      <c r="D92" s="2"/>
      <c r="E92" s="2"/>
      <c r="F92" s="2"/>
      <c r="G92" s="2"/>
      <c r="H92" s="2"/>
      <c r="I92" s="2"/>
      <c r="J92" s="2"/>
    </row>
    <row r="93" spans="1:10" x14ac:dyDescent="0.2">
      <c r="A93" s="2"/>
      <c r="B93" s="2"/>
      <c r="C93" s="2"/>
      <c r="D93" s="2"/>
      <c r="E93" s="2"/>
      <c r="F93" s="2"/>
      <c r="G93" s="2"/>
      <c r="H93" s="2"/>
      <c r="I93" s="2"/>
      <c r="J93" s="2"/>
    </row>
    <row r="94" spans="1:10" x14ac:dyDescent="0.2">
      <c r="A94" s="2"/>
      <c r="B94" s="2"/>
      <c r="C94" s="2"/>
      <c r="D94" s="2"/>
      <c r="E94" s="2"/>
      <c r="F94" s="2"/>
      <c r="G94" s="2"/>
      <c r="H94" s="2"/>
      <c r="I94" s="2"/>
      <c r="J94" s="2"/>
    </row>
    <row r="95" spans="1:10" x14ac:dyDescent="0.2">
      <c r="A95" s="2"/>
      <c r="B95" s="2"/>
      <c r="C95" s="2"/>
      <c r="D95" s="2"/>
      <c r="E95" s="2"/>
      <c r="F95" s="2"/>
      <c r="G95" s="2"/>
      <c r="H95" s="2"/>
      <c r="I95" s="2"/>
      <c r="J95" s="2"/>
    </row>
    <row r="96" spans="1:10" x14ac:dyDescent="0.2">
      <c r="A96" s="2"/>
      <c r="B96" s="2"/>
      <c r="C96" s="2"/>
      <c r="D96" s="2"/>
      <c r="E96" s="2"/>
      <c r="F96" s="2"/>
      <c r="G96" s="2"/>
      <c r="H96" s="2"/>
      <c r="I96" s="2"/>
      <c r="J96" s="2"/>
    </row>
    <row r="97" spans="1:10" x14ac:dyDescent="0.2">
      <c r="A97" s="2"/>
      <c r="B97" s="2"/>
      <c r="C97" s="2"/>
      <c r="D97" s="2"/>
      <c r="E97" s="2"/>
      <c r="F97" s="2"/>
      <c r="G97" s="2"/>
      <c r="H97" s="2"/>
      <c r="I97" s="2"/>
      <c r="J97" s="2"/>
    </row>
    <row r="98" spans="1:10" x14ac:dyDescent="0.2">
      <c r="A98" s="2"/>
      <c r="B98" s="2"/>
      <c r="C98" s="2"/>
      <c r="D98" s="2"/>
      <c r="E98" s="2"/>
      <c r="F98" s="2"/>
      <c r="G98" s="2"/>
      <c r="H98" s="2"/>
      <c r="I98" s="2"/>
      <c r="J98" s="2"/>
    </row>
    <row r="99" spans="1:10" x14ac:dyDescent="0.2">
      <c r="A99" s="2"/>
      <c r="B99" s="2"/>
      <c r="C99" s="2"/>
      <c r="D99" s="2"/>
      <c r="E99" s="2"/>
      <c r="F99" s="2"/>
      <c r="G99" s="2"/>
      <c r="H99" s="2"/>
      <c r="I99" s="2"/>
      <c r="J99" s="2"/>
    </row>
    <row r="100" spans="1:10" x14ac:dyDescent="0.2">
      <c r="A100" s="2"/>
      <c r="B100" s="2"/>
      <c r="C100" s="2"/>
      <c r="D100" s="2"/>
      <c r="E100" s="2"/>
      <c r="F100" s="2"/>
      <c r="G100" s="2"/>
      <c r="H100" s="2"/>
      <c r="I100" s="2"/>
      <c r="J100" s="2"/>
    </row>
    <row r="101" spans="1:10" x14ac:dyDescent="0.2">
      <c r="A101" s="2"/>
      <c r="B101" s="2"/>
      <c r="C101" s="2"/>
      <c r="D101" s="2"/>
      <c r="E101" s="2"/>
      <c r="F101" s="2"/>
      <c r="G101" s="2"/>
      <c r="H101" s="2"/>
      <c r="I101" s="2"/>
      <c r="J101" s="2"/>
    </row>
    <row r="102" spans="1:10" x14ac:dyDescent="0.2">
      <c r="A102" s="2"/>
      <c r="B102" s="2"/>
      <c r="C102" s="2"/>
      <c r="D102" s="2"/>
      <c r="E102" s="2"/>
      <c r="F102" s="2"/>
      <c r="G102" s="2"/>
      <c r="H102" s="2"/>
      <c r="I102" s="2"/>
      <c r="J102" s="2"/>
    </row>
    <row r="103" spans="1:10" x14ac:dyDescent="0.2">
      <c r="A103" s="2"/>
      <c r="B103" s="2"/>
      <c r="C103" s="2"/>
      <c r="D103" s="2"/>
      <c r="E103" s="2"/>
      <c r="F103" s="2"/>
      <c r="G103" s="2"/>
      <c r="H103" s="2"/>
      <c r="I103" s="2"/>
      <c r="J103" s="2"/>
    </row>
    <row r="104" spans="1:10" x14ac:dyDescent="0.2">
      <c r="A104" s="2"/>
      <c r="B104" s="2"/>
      <c r="C104" s="2"/>
      <c r="D104" s="2"/>
      <c r="E104" s="2"/>
      <c r="F104" s="2"/>
      <c r="G104" s="2"/>
      <c r="H104" s="2"/>
      <c r="I104" s="2"/>
      <c r="J104" s="2"/>
    </row>
    <row r="105" spans="1:10" x14ac:dyDescent="0.2">
      <c r="A105" s="2"/>
      <c r="B105" s="2"/>
      <c r="C105" s="2"/>
      <c r="D105" s="2"/>
      <c r="E105" s="2"/>
      <c r="F105" s="2"/>
      <c r="G105" s="2"/>
      <c r="H105" s="2"/>
      <c r="I105" s="2"/>
      <c r="J105" s="2"/>
    </row>
    <row r="106" spans="1:10" x14ac:dyDescent="0.2">
      <c r="A106" s="2"/>
      <c r="B106" s="2"/>
      <c r="C106" s="2"/>
      <c r="D106" s="2"/>
      <c r="E106" s="2"/>
      <c r="F106" s="2"/>
      <c r="G106" s="2"/>
      <c r="H106" s="2"/>
      <c r="I106" s="2"/>
      <c r="J106" s="2"/>
    </row>
    <row r="107" spans="1:10" x14ac:dyDescent="0.2">
      <c r="A107" s="2"/>
      <c r="B107" s="2"/>
      <c r="C107" s="2"/>
      <c r="D107" s="2"/>
      <c r="E107" s="2"/>
      <c r="F107" s="2"/>
      <c r="G107" s="2"/>
      <c r="H107" s="2"/>
      <c r="I107" s="2"/>
      <c r="J107" s="2"/>
    </row>
    <row r="108" spans="1:10" x14ac:dyDescent="0.2">
      <c r="A108" s="2"/>
      <c r="B108" s="2"/>
      <c r="C108" s="2"/>
      <c r="D108" s="2"/>
      <c r="E108" s="2"/>
      <c r="F108" s="2"/>
      <c r="G108" s="2"/>
      <c r="H108" s="2"/>
      <c r="I108" s="2"/>
      <c r="J108" s="2"/>
    </row>
    <row r="109" spans="1:10" x14ac:dyDescent="0.2">
      <c r="A109" s="2"/>
      <c r="B109" s="2"/>
      <c r="C109" s="2"/>
      <c r="D109" s="2"/>
      <c r="E109" s="2"/>
      <c r="F109" s="2"/>
      <c r="G109" s="2"/>
      <c r="H109" s="2"/>
      <c r="I109" s="2"/>
      <c r="J109" s="2"/>
    </row>
    <row r="110" spans="1:10" x14ac:dyDescent="0.2">
      <c r="A110" s="2"/>
      <c r="B110" s="2"/>
      <c r="C110" s="2"/>
      <c r="D110" s="2"/>
      <c r="E110" s="2"/>
      <c r="F110" s="2"/>
      <c r="G110" s="2"/>
      <c r="H110" s="2"/>
      <c r="I110" s="2"/>
      <c r="J110" s="2"/>
    </row>
    <row r="111" spans="1:10" x14ac:dyDescent="0.2">
      <c r="A111" s="2"/>
      <c r="B111" s="2"/>
      <c r="C111" s="2"/>
      <c r="D111" s="2"/>
      <c r="E111" s="2"/>
      <c r="F111" s="2"/>
      <c r="G111" s="2"/>
      <c r="H111" s="2"/>
      <c r="I111" s="2"/>
      <c r="J111" s="2"/>
    </row>
    <row r="112" spans="1:10" x14ac:dyDescent="0.2">
      <c r="A112" s="2"/>
      <c r="B112" s="2"/>
      <c r="C112" s="2"/>
      <c r="D112" s="2"/>
      <c r="E112" s="2"/>
      <c r="F112" s="2"/>
      <c r="G112" s="2"/>
      <c r="H112" s="2"/>
      <c r="I112" s="2"/>
      <c r="J112" s="2"/>
    </row>
    <row r="113" spans="1:10" x14ac:dyDescent="0.2">
      <c r="A113" s="2"/>
      <c r="B113" s="2"/>
      <c r="C113" s="2"/>
      <c r="D113" s="2"/>
      <c r="E113" s="2"/>
      <c r="F113" s="2"/>
      <c r="G113" s="2"/>
      <c r="H113" s="2"/>
      <c r="I113" s="2"/>
      <c r="J113" s="2"/>
    </row>
    <row r="114" spans="1:10" x14ac:dyDescent="0.2">
      <c r="A114" s="2"/>
      <c r="B114" s="2"/>
      <c r="C114" s="2"/>
      <c r="D114" s="2"/>
      <c r="E114" s="2"/>
      <c r="F114" s="2"/>
      <c r="G114" s="2"/>
      <c r="H114" s="2"/>
      <c r="I114" s="2"/>
      <c r="J114" s="2"/>
    </row>
    <row r="115" spans="1:10" x14ac:dyDescent="0.2">
      <c r="A115" s="2"/>
      <c r="B115" s="2"/>
      <c r="C115" s="2"/>
      <c r="D115" s="2"/>
      <c r="E115" s="2"/>
      <c r="F115" s="2"/>
      <c r="G115" s="2"/>
      <c r="H115" s="2"/>
      <c r="I115" s="2"/>
      <c r="J115" s="2"/>
    </row>
    <row r="116" spans="1:10" x14ac:dyDescent="0.2">
      <c r="A116" s="2"/>
      <c r="B116" s="2"/>
      <c r="C116" s="2"/>
      <c r="D116" s="2"/>
      <c r="E116" s="2"/>
      <c r="F116" s="2"/>
      <c r="G116" s="2"/>
      <c r="H116" s="2"/>
      <c r="I116" s="2"/>
      <c r="J116" s="2"/>
    </row>
    <row r="117" spans="1:10" x14ac:dyDescent="0.2">
      <c r="A117" s="2"/>
      <c r="B117" s="2"/>
      <c r="C117" s="2"/>
      <c r="D117" s="2"/>
      <c r="E117" s="2"/>
      <c r="F117" s="2"/>
      <c r="G117" s="2"/>
      <c r="H117" s="2"/>
      <c r="I117" s="2"/>
      <c r="J117" s="2"/>
    </row>
    <row r="118" spans="1:10" x14ac:dyDescent="0.2">
      <c r="A118" s="2"/>
      <c r="B118" s="2"/>
      <c r="C118" s="2"/>
      <c r="D118" s="2"/>
      <c r="E118" s="2"/>
      <c r="F118" s="2"/>
      <c r="G118" s="2"/>
      <c r="H118" s="2"/>
      <c r="I118" s="2"/>
      <c r="J118" s="2"/>
    </row>
    <row r="119" spans="1:10" x14ac:dyDescent="0.2">
      <c r="A119" s="2"/>
      <c r="B119" s="2"/>
      <c r="C119" s="2"/>
      <c r="D119" s="2"/>
      <c r="E119" s="2"/>
      <c r="F119" s="2"/>
      <c r="G119" s="2"/>
      <c r="H119" s="2"/>
      <c r="I119" s="2"/>
      <c r="J119" s="2"/>
    </row>
    <row r="120" spans="1:10" x14ac:dyDescent="0.2">
      <c r="A120" s="2"/>
      <c r="B120" s="2"/>
      <c r="C120" s="2"/>
      <c r="D120" s="2"/>
      <c r="E120" s="2"/>
      <c r="F120" s="2"/>
      <c r="G120" s="2"/>
      <c r="H120" s="2"/>
      <c r="I120" s="2"/>
      <c r="J120" s="2"/>
    </row>
    <row r="121" spans="1:10" x14ac:dyDescent="0.2">
      <c r="A121" s="2"/>
      <c r="B121" s="2"/>
      <c r="C121" s="2"/>
      <c r="D121" s="2"/>
      <c r="E121" s="2"/>
      <c r="F121" s="2"/>
      <c r="G121" s="2"/>
      <c r="H121" s="2"/>
      <c r="I121" s="2"/>
      <c r="J121" s="2"/>
    </row>
    <row r="122" spans="1:10" x14ac:dyDescent="0.2">
      <c r="A122" s="2"/>
      <c r="B122" s="2"/>
      <c r="C122" s="2"/>
      <c r="D122" s="2"/>
      <c r="E122" s="2"/>
      <c r="F122" s="2"/>
      <c r="G122" s="2"/>
      <c r="H122" s="2"/>
      <c r="I122" s="2"/>
      <c r="J122" s="2"/>
    </row>
    <row r="123" spans="1:10" x14ac:dyDescent="0.2">
      <c r="A123" s="2"/>
      <c r="B123" s="2"/>
      <c r="C123" s="2"/>
      <c r="D123" s="2"/>
      <c r="E123" s="2"/>
      <c r="F123" s="2"/>
      <c r="G123" s="2"/>
      <c r="H123" s="2"/>
      <c r="I123" s="2"/>
      <c r="J123" s="2"/>
    </row>
    <row r="124" spans="1:10" x14ac:dyDescent="0.2">
      <c r="A124" s="2"/>
      <c r="B124" s="2"/>
      <c r="C124" s="2"/>
      <c r="D124" s="2"/>
      <c r="E124" s="2"/>
      <c r="F124" s="2"/>
      <c r="G124" s="2"/>
      <c r="H124" s="2"/>
      <c r="I124" s="2"/>
      <c r="J124" s="2"/>
    </row>
    <row r="125" spans="1:10" x14ac:dyDescent="0.2">
      <c r="A125" s="2"/>
      <c r="B125" s="2"/>
      <c r="C125" s="2"/>
      <c r="D125" s="2"/>
      <c r="E125" s="2"/>
      <c r="F125" s="2"/>
      <c r="G125" s="2"/>
      <c r="H125" s="2"/>
      <c r="I125" s="2"/>
      <c r="J125" s="2"/>
    </row>
    <row r="126" spans="1:10" x14ac:dyDescent="0.2">
      <c r="A126" s="2"/>
      <c r="B126" s="2"/>
      <c r="C126" s="2"/>
      <c r="D126" s="2"/>
      <c r="E126" s="2"/>
      <c r="F126" s="2"/>
      <c r="G126" s="2"/>
      <c r="H126" s="2"/>
      <c r="I126" s="2"/>
      <c r="J126" s="2"/>
    </row>
    <row r="127" spans="1:10" x14ac:dyDescent="0.2">
      <c r="A127" s="2"/>
      <c r="B127" s="2"/>
      <c r="C127" s="2"/>
      <c r="D127" s="2"/>
      <c r="E127" s="2"/>
      <c r="F127" s="2"/>
      <c r="G127" s="2"/>
      <c r="H127" s="2"/>
      <c r="I127" s="2"/>
      <c r="J127" s="2"/>
    </row>
    <row r="128" spans="1:10" x14ac:dyDescent="0.2">
      <c r="A128" s="2"/>
      <c r="B128" s="2"/>
      <c r="C128" s="2"/>
      <c r="D128" s="2"/>
      <c r="E128" s="2"/>
      <c r="F128" s="2"/>
      <c r="G128" s="2"/>
      <c r="H128" s="2"/>
      <c r="I128" s="2"/>
      <c r="J128" s="2"/>
    </row>
    <row r="129" spans="1:10" x14ac:dyDescent="0.2">
      <c r="A129" s="2"/>
      <c r="B129" s="2"/>
      <c r="C129" s="2"/>
      <c r="D129" s="2"/>
      <c r="E129" s="2"/>
      <c r="F129" s="2"/>
      <c r="G129" s="2"/>
      <c r="H129" s="2"/>
      <c r="I129" s="2"/>
      <c r="J129" s="2"/>
    </row>
    <row r="130" spans="1:10" x14ac:dyDescent="0.2">
      <c r="A130" s="2"/>
      <c r="B130" s="2"/>
      <c r="C130" s="2"/>
      <c r="D130" s="2"/>
      <c r="E130" s="2"/>
      <c r="F130" s="2"/>
      <c r="G130" s="2"/>
      <c r="H130" s="2"/>
      <c r="I130" s="2"/>
      <c r="J130" s="2"/>
    </row>
    <row r="131" spans="1:10" x14ac:dyDescent="0.2">
      <c r="A131" s="2"/>
      <c r="B131" s="2"/>
      <c r="C131" s="2"/>
      <c r="D131" s="2"/>
      <c r="E131" s="2"/>
      <c r="F131" s="2"/>
      <c r="G131" s="2"/>
      <c r="H131" s="2"/>
      <c r="I131" s="2"/>
      <c r="J131" s="2"/>
    </row>
    <row r="132" spans="1:10" x14ac:dyDescent="0.2">
      <c r="A132" s="2"/>
      <c r="B132" s="2"/>
      <c r="C132" s="2"/>
      <c r="D132" s="2"/>
      <c r="E132" s="2"/>
      <c r="F132" s="2"/>
      <c r="G132" s="2"/>
      <c r="H132" s="2"/>
      <c r="I132" s="2"/>
      <c r="J132" s="2"/>
    </row>
    <row r="133" spans="1:10" x14ac:dyDescent="0.2">
      <c r="A133" s="2"/>
      <c r="B133" s="2"/>
      <c r="C133" s="2"/>
      <c r="D133" s="2"/>
      <c r="E133" s="2"/>
      <c r="F133" s="2"/>
      <c r="G133" s="2"/>
      <c r="H133" s="2"/>
      <c r="I133" s="2"/>
      <c r="J133" s="2"/>
    </row>
    <row r="134" spans="1:10" x14ac:dyDescent="0.2">
      <c r="A134" s="2"/>
      <c r="B134" s="2"/>
      <c r="C134" s="2"/>
      <c r="D134" s="2"/>
      <c r="E134" s="2"/>
      <c r="F134" s="2"/>
      <c r="G134" s="2"/>
      <c r="H134" s="2"/>
      <c r="I134" s="2"/>
      <c r="J134" s="2"/>
    </row>
    <row r="135" spans="1:10" x14ac:dyDescent="0.2">
      <c r="A135" s="2"/>
      <c r="B135" s="2"/>
      <c r="C135" s="2"/>
      <c r="D135" s="2"/>
      <c r="E135" s="2"/>
      <c r="F135" s="2"/>
      <c r="G135" s="2"/>
      <c r="H135" s="2"/>
      <c r="I135" s="2"/>
      <c r="J135" s="2"/>
    </row>
    <row r="136" spans="1:10" x14ac:dyDescent="0.2">
      <c r="A136" s="2"/>
      <c r="B136" s="2"/>
      <c r="C136" s="2"/>
      <c r="D136" s="2"/>
      <c r="E136" s="2"/>
      <c r="F136" s="2"/>
      <c r="G136" s="2"/>
      <c r="H136" s="2"/>
      <c r="I136" s="2"/>
      <c r="J136" s="2"/>
    </row>
    <row r="137" spans="1:10" x14ac:dyDescent="0.2">
      <c r="A137" s="2"/>
      <c r="B137" s="2"/>
      <c r="C137" s="2"/>
      <c r="D137" s="2"/>
      <c r="E137" s="2"/>
      <c r="F137" s="2"/>
      <c r="G137" s="2"/>
      <c r="H137" s="2"/>
      <c r="I137" s="2"/>
      <c r="J137" s="2"/>
    </row>
    <row r="138" spans="1:10" x14ac:dyDescent="0.2">
      <c r="A138" s="2"/>
      <c r="B138" s="2"/>
      <c r="C138" s="2"/>
      <c r="D138" s="2"/>
      <c r="E138" s="2"/>
      <c r="F138" s="2"/>
      <c r="G138" s="2"/>
      <c r="H138" s="2"/>
      <c r="I138" s="2"/>
      <c r="J138" s="2"/>
    </row>
    <row r="139" spans="1:10" x14ac:dyDescent="0.2">
      <c r="A139" s="2"/>
      <c r="B139" s="2"/>
      <c r="C139" s="2"/>
      <c r="D139" s="2"/>
      <c r="E139" s="2"/>
      <c r="F139" s="2"/>
      <c r="G139" s="2"/>
      <c r="H139" s="2"/>
      <c r="I139" s="2"/>
      <c r="J139" s="2"/>
    </row>
    <row r="140" spans="1:10" x14ac:dyDescent="0.2">
      <c r="A140" s="2"/>
      <c r="B140" s="2"/>
      <c r="C140" s="2"/>
      <c r="D140" s="2"/>
      <c r="E140" s="2"/>
      <c r="F140" s="2"/>
      <c r="G140" s="2"/>
      <c r="H140" s="2"/>
      <c r="I140" s="2"/>
      <c r="J140" s="2"/>
    </row>
    <row r="141" spans="1:10" x14ac:dyDescent="0.2">
      <c r="A141" s="2"/>
      <c r="B141" s="2"/>
      <c r="C141" s="2"/>
      <c r="D141" s="2"/>
      <c r="E141" s="2"/>
      <c r="F141" s="2"/>
      <c r="G141" s="2"/>
      <c r="H141" s="2"/>
      <c r="I141" s="2"/>
      <c r="J141" s="2"/>
    </row>
    <row r="142" spans="1:10" x14ac:dyDescent="0.2">
      <c r="A142" s="2"/>
      <c r="B142" s="2"/>
      <c r="C142" s="2"/>
      <c r="D142" s="2"/>
      <c r="E142" s="2"/>
      <c r="F142" s="2"/>
      <c r="G142" s="2"/>
      <c r="H142" s="2"/>
      <c r="I142" s="2"/>
      <c r="J142" s="2"/>
    </row>
    <row r="143" spans="1:10" x14ac:dyDescent="0.2">
      <c r="A143" s="2"/>
      <c r="B143" s="2"/>
      <c r="C143" s="2"/>
      <c r="D143" s="2"/>
      <c r="E143" s="2"/>
      <c r="F143" s="2"/>
      <c r="G143" s="2"/>
      <c r="H143" s="2"/>
      <c r="I143" s="2"/>
      <c r="J143" s="2"/>
    </row>
    <row r="144" spans="1:10" x14ac:dyDescent="0.2">
      <c r="A144" s="2"/>
      <c r="B144" s="2"/>
      <c r="C144" s="2"/>
      <c r="D144" s="2"/>
      <c r="E144" s="2"/>
      <c r="F144" s="2"/>
      <c r="G144" s="2"/>
      <c r="H144" s="2"/>
      <c r="I144" s="2"/>
      <c r="J144" s="2"/>
    </row>
    <row r="145" spans="1:10" x14ac:dyDescent="0.2">
      <c r="A145" s="2"/>
      <c r="B145" s="2"/>
      <c r="C145" s="2"/>
      <c r="D145" s="2"/>
      <c r="E145" s="2"/>
      <c r="F145" s="2"/>
      <c r="G145" s="2"/>
      <c r="H145" s="2"/>
      <c r="I145" s="2"/>
      <c r="J145" s="2"/>
    </row>
    <row r="146" spans="1:10" x14ac:dyDescent="0.2">
      <c r="A146" s="2"/>
      <c r="B146" s="2"/>
      <c r="C146" s="2"/>
      <c r="D146" s="2"/>
      <c r="E146" s="2"/>
      <c r="F146" s="2"/>
      <c r="G146" s="2"/>
      <c r="H146" s="2"/>
      <c r="I146" s="2"/>
      <c r="J146" s="2"/>
    </row>
    <row r="147" spans="1:10" x14ac:dyDescent="0.2">
      <c r="A147" s="2"/>
      <c r="B147" s="2"/>
      <c r="C147" s="2"/>
      <c r="D147" s="2"/>
      <c r="E147" s="2"/>
      <c r="F147" s="2"/>
      <c r="G147" s="2"/>
      <c r="H147" s="2"/>
      <c r="I147" s="2"/>
      <c r="J147" s="2"/>
    </row>
    <row r="148" spans="1:10" x14ac:dyDescent="0.2">
      <c r="A148" s="2"/>
      <c r="B148" s="2"/>
      <c r="C148" s="2"/>
      <c r="D148" s="2"/>
      <c r="E148" s="2"/>
      <c r="F148" s="2"/>
      <c r="G148" s="2"/>
      <c r="H148" s="2"/>
      <c r="I148" s="2"/>
      <c r="J148" s="2"/>
    </row>
    <row r="149" spans="1:10" x14ac:dyDescent="0.2">
      <c r="A149" s="2"/>
      <c r="B149" s="2"/>
      <c r="C149" s="2"/>
      <c r="D149" s="2"/>
      <c r="E149" s="2"/>
      <c r="F149" s="2"/>
      <c r="G149" s="2"/>
      <c r="H149" s="2"/>
      <c r="I149" s="2"/>
      <c r="J149" s="2"/>
    </row>
    <row r="150" spans="1:10" x14ac:dyDescent="0.2">
      <c r="A150" s="2"/>
      <c r="B150" s="2"/>
      <c r="C150" s="2"/>
      <c r="D150" s="2"/>
      <c r="E150" s="2"/>
      <c r="F150" s="2"/>
      <c r="G150" s="2"/>
      <c r="H150" s="2"/>
      <c r="I150" s="2"/>
      <c r="J150" s="2"/>
    </row>
    <row r="151" spans="1:10" x14ac:dyDescent="0.2">
      <c r="A151" s="2"/>
      <c r="B151" s="2"/>
      <c r="C151" s="2"/>
      <c r="D151" s="2"/>
      <c r="E151" s="2"/>
      <c r="F151" s="2"/>
      <c r="G151" s="2"/>
      <c r="H151" s="2"/>
      <c r="I151" s="2"/>
      <c r="J151" s="2"/>
    </row>
    <row r="152" spans="1:10" x14ac:dyDescent="0.2">
      <c r="A152" s="2"/>
      <c r="B152" s="2"/>
      <c r="C152" s="2"/>
      <c r="D152" s="2"/>
      <c r="E152" s="2"/>
      <c r="F152" s="2"/>
      <c r="G152" s="2"/>
      <c r="H152" s="2"/>
      <c r="I152" s="2"/>
      <c r="J152" s="2"/>
    </row>
    <row r="153" spans="1:10" x14ac:dyDescent="0.2">
      <c r="A153" s="2"/>
      <c r="B153" s="2"/>
      <c r="C153" s="2"/>
      <c r="D153" s="2"/>
      <c r="E153" s="2"/>
      <c r="F153" s="2"/>
      <c r="G153" s="2"/>
      <c r="H153" s="2"/>
      <c r="I153" s="2"/>
      <c r="J153" s="2"/>
    </row>
    <row r="154" spans="1:10" x14ac:dyDescent="0.2">
      <c r="A154" s="2"/>
      <c r="B154" s="2"/>
      <c r="C154" s="2"/>
      <c r="D154" s="2"/>
      <c r="E154" s="2"/>
      <c r="F154" s="2"/>
      <c r="G154" s="2"/>
      <c r="H154" s="2"/>
      <c r="I154" s="2"/>
      <c r="J154" s="2"/>
    </row>
    <row r="155" spans="1:10" x14ac:dyDescent="0.2">
      <c r="A155" s="2"/>
      <c r="B155" s="2"/>
      <c r="C155" s="2"/>
      <c r="D155" s="2"/>
      <c r="E155" s="2"/>
      <c r="F155" s="2"/>
      <c r="G155" s="2"/>
      <c r="H155" s="2"/>
      <c r="I155" s="2"/>
      <c r="J155" s="2"/>
    </row>
    <row r="156" spans="1:10" x14ac:dyDescent="0.2">
      <c r="A156" s="2"/>
      <c r="B156" s="2"/>
      <c r="C156" s="2"/>
      <c r="D156" s="2"/>
      <c r="E156" s="2"/>
      <c r="F156" s="2"/>
      <c r="G156" s="2"/>
      <c r="H156" s="2"/>
      <c r="I156" s="2"/>
      <c r="J156" s="2"/>
    </row>
    <row r="157" spans="1:10" x14ac:dyDescent="0.2">
      <c r="A157" s="2"/>
      <c r="B157" s="2"/>
      <c r="C157" s="2"/>
      <c r="D157" s="2"/>
      <c r="E157" s="2"/>
      <c r="F157" s="2"/>
      <c r="G157" s="2"/>
      <c r="H157" s="2"/>
      <c r="I157" s="2"/>
      <c r="J157" s="2"/>
    </row>
    <row r="158" spans="1:10" x14ac:dyDescent="0.2">
      <c r="A158" s="2"/>
      <c r="B158" s="2"/>
      <c r="C158" s="2"/>
      <c r="D158" s="2"/>
      <c r="E158" s="2"/>
      <c r="F158" s="2"/>
      <c r="G158" s="2"/>
      <c r="H158" s="2"/>
      <c r="I158" s="2"/>
      <c r="J158" s="2"/>
    </row>
    <row r="159" spans="1:10" x14ac:dyDescent="0.2">
      <c r="A159" s="2"/>
      <c r="B159" s="2"/>
      <c r="C159" s="2"/>
      <c r="D159" s="2"/>
      <c r="E159" s="2"/>
      <c r="F159" s="2"/>
      <c r="G159" s="2"/>
      <c r="H159" s="2"/>
      <c r="I159" s="2"/>
      <c r="J159" s="2"/>
    </row>
    <row r="160" spans="1:10" x14ac:dyDescent="0.2">
      <c r="A160" s="2"/>
      <c r="B160" s="2"/>
      <c r="C160" s="2"/>
      <c r="D160" s="2"/>
      <c r="E160" s="2"/>
      <c r="F160" s="2"/>
      <c r="G160" s="2"/>
      <c r="H160" s="2"/>
      <c r="I160" s="2"/>
      <c r="J160" s="2"/>
    </row>
    <row r="161" spans="1:10" x14ac:dyDescent="0.2">
      <c r="A161" s="2"/>
      <c r="B161" s="2"/>
      <c r="C161" s="2"/>
      <c r="D161" s="2"/>
      <c r="E161" s="2"/>
      <c r="F161" s="2"/>
      <c r="G161" s="2"/>
      <c r="H161" s="2"/>
      <c r="I161" s="2"/>
      <c r="J161" s="2"/>
    </row>
    <row r="162" spans="1:10" x14ac:dyDescent="0.2">
      <c r="A162" s="2"/>
      <c r="B162" s="2"/>
      <c r="C162" s="2"/>
      <c r="D162" s="2"/>
      <c r="E162" s="2"/>
      <c r="F162" s="2"/>
      <c r="G162" s="2"/>
      <c r="H162" s="2"/>
      <c r="I162" s="2"/>
      <c r="J162" s="2"/>
    </row>
    <row r="163" spans="1:10" x14ac:dyDescent="0.2">
      <c r="A163" s="2"/>
      <c r="B163" s="2"/>
      <c r="C163" s="2"/>
      <c r="D163" s="2"/>
      <c r="E163" s="2"/>
      <c r="F163" s="2"/>
      <c r="G163" s="2"/>
      <c r="H163" s="2"/>
      <c r="I163" s="2"/>
      <c r="J163" s="2"/>
    </row>
    <row r="164" spans="1:10" x14ac:dyDescent="0.2">
      <c r="A164" s="2"/>
      <c r="B164" s="2"/>
      <c r="C164" s="2"/>
      <c r="D164" s="2"/>
      <c r="E164" s="2"/>
      <c r="F164" s="2"/>
      <c r="G164" s="2"/>
      <c r="H164" s="2"/>
      <c r="I164" s="2"/>
      <c r="J164" s="2"/>
    </row>
    <row r="165" spans="1:10" x14ac:dyDescent="0.2">
      <c r="A165" s="2"/>
      <c r="B165" s="2"/>
      <c r="C165" s="2"/>
      <c r="D165" s="2"/>
      <c r="E165" s="2"/>
      <c r="F165" s="2"/>
      <c r="G165" s="2"/>
      <c r="H165" s="2"/>
      <c r="I165" s="2"/>
      <c r="J165" s="2"/>
    </row>
    <row r="166" spans="1:10" x14ac:dyDescent="0.2">
      <c r="A166" s="2"/>
      <c r="B166" s="2"/>
      <c r="C166" s="2"/>
      <c r="D166" s="2"/>
      <c r="E166" s="2"/>
      <c r="F166" s="2"/>
      <c r="G166" s="2"/>
      <c r="H166" s="2"/>
      <c r="I166" s="2"/>
      <c r="J166" s="2"/>
    </row>
    <row r="167" spans="1:10" x14ac:dyDescent="0.2">
      <c r="A167" s="2"/>
      <c r="B167" s="2"/>
      <c r="C167" s="2"/>
      <c r="D167" s="2"/>
      <c r="E167" s="2"/>
      <c r="F167" s="2"/>
      <c r="G167" s="2"/>
      <c r="H167" s="2"/>
      <c r="I167" s="2"/>
      <c r="J167" s="2"/>
    </row>
    <row r="168" spans="1:10" x14ac:dyDescent="0.2">
      <c r="A168" s="2"/>
      <c r="B168" s="2"/>
      <c r="C168" s="2"/>
      <c r="D168" s="2"/>
      <c r="E168" s="2"/>
      <c r="F168" s="2"/>
      <c r="G168" s="2"/>
      <c r="H168" s="2"/>
      <c r="I168" s="2"/>
      <c r="J168" s="2"/>
    </row>
    <row r="169" spans="1:10" x14ac:dyDescent="0.2">
      <c r="A169" s="2"/>
      <c r="B169" s="2"/>
      <c r="C169" s="2"/>
      <c r="D169" s="2"/>
      <c r="E169" s="2"/>
      <c r="F169" s="2"/>
      <c r="G169" s="2"/>
      <c r="H169" s="2"/>
      <c r="I169" s="2"/>
      <c r="J169" s="2"/>
    </row>
    <row r="170" spans="1:10" x14ac:dyDescent="0.2">
      <c r="A170" s="2"/>
      <c r="B170" s="2"/>
      <c r="C170" s="2"/>
      <c r="D170" s="2"/>
      <c r="E170" s="2"/>
      <c r="F170" s="2"/>
      <c r="G170" s="2"/>
      <c r="H170" s="2"/>
      <c r="I170" s="2"/>
      <c r="J170" s="2"/>
    </row>
    <row r="171" spans="1:10" x14ac:dyDescent="0.2">
      <c r="A171" s="2"/>
      <c r="B171" s="2"/>
      <c r="C171" s="2"/>
      <c r="D171" s="2"/>
      <c r="E171" s="2"/>
      <c r="F171" s="2"/>
      <c r="G171" s="2"/>
      <c r="H171" s="2"/>
      <c r="I171" s="2"/>
      <c r="J171" s="2"/>
    </row>
    <row r="172" spans="1:10" x14ac:dyDescent="0.2">
      <c r="A172" s="2"/>
      <c r="B172" s="2"/>
      <c r="C172" s="2"/>
      <c r="D172" s="2"/>
      <c r="E172" s="2"/>
      <c r="F172" s="2"/>
      <c r="G172" s="2"/>
      <c r="H172" s="2"/>
      <c r="I172" s="2"/>
      <c r="J172" s="2"/>
    </row>
    <row r="173" spans="1:10" x14ac:dyDescent="0.2">
      <c r="A173" s="2"/>
      <c r="B173" s="2"/>
      <c r="C173" s="2"/>
      <c r="D173" s="2"/>
      <c r="E173" s="2"/>
      <c r="F173" s="2"/>
      <c r="G173" s="2"/>
      <c r="H173" s="2"/>
      <c r="I173" s="2"/>
      <c r="J173" s="2"/>
    </row>
    <row r="174" spans="1:10" x14ac:dyDescent="0.2">
      <c r="A174" s="2"/>
      <c r="B174" s="2"/>
      <c r="C174" s="2"/>
      <c r="D174" s="2"/>
      <c r="E174" s="2"/>
      <c r="F174" s="2"/>
      <c r="G174" s="2"/>
      <c r="H174" s="2"/>
      <c r="I174" s="2"/>
      <c r="J174" s="2"/>
    </row>
    <row r="175" spans="1:10" x14ac:dyDescent="0.2">
      <c r="A175" s="2"/>
      <c r="B175" s="2"/>
      <c r="C175" s="2"/>
      <c r="D175" s="2"/>
      <c r="E175" s="2"/>
      <c r="F175" s="2"/>
      <c r="G175" s="2"/>
      <c r="H175" s="2"/>
      <c r="I175" s="2"/>
      <c r="J175" s="2"/>
    </row>
    <row r="176" spans="1:10" x14ac:dyDescent="0.2">
      <c r="A176" s="2"/>
      <c r="B176" s="2"/>
      <c r="C176" s="2"/>
      <c r="D176" s="2"/>
      <c r="E176" s="2"/>
      <c r="F176" s="2"/>
      <c r="G176" s="2"/>
      <c r="H176" s="2"/>
      <c r="I176" s="2"/>
      <c r="J176" s="2"/>
    </row>
    <row r="177" spans="1:10" x14ac:dyDescent="0.2">
      <c r="A177" s="2"/>
      <c r="B177" s="2"/>
      <c r="C177" s="2"/>
      <c r="D177" s="2"/>
      <c r="E177" s="2"/>
      <c r="F177" s="2"/>
      <c r="G177" s="2"/>
      <c r="H177" s="2"/>
      <c r="I177" s="2"/>
      <c r="J177" s="2"/>
    </row>
    <row r="178" spans="1:10" x14ac:dyDescent="0.2">
      <c r="A178" s="2"/>
      <c r="B178" s="2"/>
      <c r="C178" s="2"/>
      <c r="D178" s="2"/>
      <c r="E178" s="2"/>
      <c r="F178" s="2"/>
      <c r="G178" s="2"/>
      <c r="H178" s="2"/>
      <c r="I178" s="2"/>
      <c r="J178" s="2"/>
    </row>
    <row r="179" spans="1:10" x14ac:dyDescent="0.2">
      <c r="A179" s="2"/>
      <c r="B179" s="2"/>
      <c r="C179" s="2"/>
      <c r="D179" s="2"/>
      <c r="E179" s="2"/>
      <c r="F179" s="2"/>
      <c r="G179" s="2"/>
      <c r="H179" s="2"/>
      <c r="I179" s="2"/>
      <c r="J179" s="2"/>
    </row>
    <row r="180" spans="1:10" x14ac:dyDescent="0.2">
      <c r="A180" s="2"/>
      <c r="B180" s="2"/>
      <c r="C180" s="2"/>
      <c r="D180" s="2"/>
      <c r="E180" s="2"/>
      <c r="F180" s="2"/>
      <c r="G180" s="2"/>
      <c r="H180" s="2"/>
      <c r="I180" s="2"/>
      <c r="J180" s="2"/>
    </row>
    <row r="181" spans="1:10" x14ac:dyDescent="0.2">
      <c r="A181" s="2"/>
      <c r="B181" s="2"/>
      <c r="C181" s="2"/>
      <c r="D181" s="2"/>
      <c r="E181" s="2"/>
      <c r="F181" s="2"/>
      <c r="G181" s="2"/>
      <c r="H181" s="2"/>
      <c r="I181" s="2"/>
      <c r="J181" s="2"/>
    </row>
    <row r="182" spans="1:10" x14ac:dyDescent="0.2">
      <c r="A182" s="2"/>
      <c r="B182" s="2"/>
      <c r="C182" s="2"/>
      <c r="D182" s="2"/>
      <c r="E182" s="2"/>
      <c r="F182" s="2"/>
      <c r="G182" s="2"/>
      <c r="H182" s="2"/>
      <c r="I182" s="2"/>
      <c r="J182" s="2"/>
    </row>
    <row r="183" spans="1:10" x14ac:dyDescent="0.2">
      <c r="A183" s="2"/>
      <c r="B183" s="2"/>
      <c r="C183" s="2"/>
      <c r="D183" s="2"/>
      <c r="E183" s="2"/>
      <c r="F183" s="2"/>
      <c r="G183" s="2"/>
      <c r="H183" s="2"/>
      <c r="I183" s="2"/>
      <c r="J183" s="2"/>
    </row>
    <row r="184" spans="1:10" x14ac:dyDescent="0.2">
      <c r="A184" s="2"/>
      <c r="B184" s="2"/>
      <c r="C184" s="2"/>
      <c r="D184" s="2"/>
      <c r="E184" s="2"/>
      <c r="F184" s="2"/>
      <c r="G184" s="2"/>
      <c r="H184" s="2"/>
      <c r="I184" s="2"/>
      <c r="J184" s="2"/>
    </row>
    <row r="185" spans="1:10" x14ac:dyDescent="0.2">
      <c r="A185" s="2"/>
      <c r="B185" s="2"/>
      <c r="C185" s="2"/>
      <c r="D185" s="2"/>
      <c r="E185" s="2"/>
      <c r="F185" s="2"/>
      <c r="G185" s="2"/>
      <c r="H185" s="2"/>
      <c r="I185" s="2"/>
      <c r="J185" s="2"/>
    </row>
    <row r="186" spans="1:10" x14ac:dyDescent="0.2">
      <c r="A186" s="2"/>
      <c r="B186" s="2"/>
      <c r="C186" s="2"/>
      <c r="D186" s="2"/>
      <c r="E186" s="2"/>
      <c r="F186" s="2"/>
      <c r="G186" s="2"/>
      <c r="H186" s="2"/>
      <c r="I186" s="2"/>
      <c r="J186" s="2"/>
    </row>
    <row r="187" spans="1:10" x14ac:dyDescent="0.2">
      <c r="A187" s="2"/>
      <c r="B187" s="2"/>
      <c r="C187" s="2"/>
      <c r="D187" s="2"/>
      <c r="E187" s="2"/>
      <c r="F187" s="2"/>
      <c r="G187" s="2"/>
      <c r="H187" s="2"/>
      <c r="I187" s="2"/>
      <c r="J187" s="2"/>
    </row>
    <row r="188" spans="1:10" x14ac:dyDescent="0.2">
      <c r="A188" s="2"/>
      <c r="B188" s="2"/>
      <c r="C188" s="2"/>
      <c r="D188" s="2"/>
      <c r="E188" s="2"/>
      <c r="F188" s="2"/>
      <c r="G188" s="2"/>
      <c r="H188" s="2"/>
      <c r="I188" s="2"/>
      <c r="J188" s="2"/>
    </row>
    <row r="189" spans="1:10" x14ac:dyDescent="0.2">
      <c r="A189" s="2"/>
      <c r="B189" s="2"/>
      <c r="C189" s="2"/>
      <c r="D189" s="2"/>
      <c r="E189" s="2"/>
      <c r="F189" s="2"/>
      <c r="G189" s="2"/>
      <c r="H189" s="2"/>
      <c r="I189" s="2"/>
      <c r="J189" s="2"/>
    </row>
    <row r="190" spans="1:10" x14ac:dyDescent="0.2">
      <c r="A190" s="2"/>
      <c r="B190" s="2"/>
      <c r="C190" s="2"/>
      <c r="D190" s="2"/>
      <c r="E190" s="2"/>
      <c r="F190" s="2"/>
      <c r="G190" s="2"/>
      <c r="H190" s="2"/>
      <c r="I190" s="2"/>
      <c r="J190" s="2"/>
    </row>
    <row r="191" spans="1:10" x14ac:dyDescent="0.2">
      <c r="A191" s="2"/>
      <c r="B191" s="2"/>
      <c r="C191" s="2"/>
      <c r="D191" s="2"/>
      <c r="E191" s="2"/>
      <c r="F191" s="2"/>
      <c r="G191" s="2"/>
      <c r="H191" s="2"/>
      <c r="I191" s="2"/>
      <c r="J191" s="2"/>
    </row>
    <row r="192" spans="1:10" x14ac:dyDescent="0.2">
      <c r="A192" s="2"/>
      <c r="B192" s="2"/>
      <c r="C192" s="2"/>
      <c r="D192" s="2"/>
      <c r="E192" s="2"/>
      <c r="F192" s="2"/>
      <c r="G192" s="2"/>
      <c r="H192" s="2"/>
      <c r="I192" s="2"/>
      <c r="J192" s="2"/>
    </row>
    <row r="193" spans="1:10" x14ac:dyDescent="0.2">
      <c r="A193" s="2"/>
      <c r="B193" s="2"/>
      <c r="C193" s="2"/>
      <c r="D193" s="2"/>
      <c r="E193" s="2"/>
      <c r="F193" s="2"/>
      <c r="G193" s="2"/>
      <c r="H193" s="2"/>
      <c r="I193" s="2"/>
      <c r="J193" s="2"/>
    </row>
    <row r="194" spans="1:10" x14ac:dyDescent="0.2">
      <c r="A194" s="2"/>
      <c r="B194" s="2"/>
      <c r="C194" s="2"/>
      <c r="D194" s="2"/>
      <c r="E194" s="2"/>
      <c r="F194" s="2"/>
      <c r="G194" s="2"/>
      <c r="H194" s="2"/>
      <c r="I194" s="2"/>
      <c r="J194" s="2"/>
    </row>
    <row r="195" spans="1:10" x14ac:dyDescent="0.2">
      <c r="A195" s="2"/>
      <c r="B195" s="2"/>
      <c r="C195" s="2"/>
      <c r="D195" s="2"/>
      <c r="E195" s="2"/>
      <c r="F195" s="2"/>
      <c r="G195" s="2"/>
      <c r="H195" s="2"/>
      <c r="I195" s="2"/>
      <c r="J195" s="2"/>
    </row>
    <row r="196" spans="1:10" x14ac:dyDescent="0.2">
      <c r="A196" s="2"/>
      <c r="B196" s="2"/>
      <c r="C196" s="2"/>
      <c r="D196" s="2"/>
      <c r="E196" s="2"/>
      <c r="F196" s="2"/>
      <c r="G196" s="2"/>
      <c r="H196" s="2"/>
      <c r="I196" s="2"/>
      <c r="J196" s="2"/>
    </row>
    <row r="197" spans="1:10" x14ac:dyDescent="0.2">
      <c r="A197" s="2"/>
      <c r="B197" s="2"/>
      <c r="C197" s="2"/>
      <c r="D197" s="2"/>
      <c r="E197" s="2"/>
      <c r="F197" s="2"/>
      <c r="G197" s="2"/>
      <c r="H197" s="2"/>
      <c r="I197" s="2"/>
      <c r="J197" s="2"/>
    </row>
    <row r="198" spans="1:10" x14ac:dyDescent="0.2">
      <c r="A198" s="2"/>
      <c r="B198" s="2"/>
      <c r="C198" s="2"/>
      <c r="D198" s="2"/>
      <c r="E198" s="2"/>
      <c r="F198" s="2"/>
      <c r="G198" s="2"/>
      <c r="H198" s="2"/>
      <c r="I198" s="2"/>
      <c r="J198" s="2"/>
    </row>
    <row r="199" spans="1:10" x14ac:dyDescent="0.2">
      <c r="A199" s="2"/>
      <c r="B199" s="2"/>
      <c r="C199" s="2"/>
      <c r="D199" s="2"/>
      <c r="E199" s="2"/>
      <c r="F199" s="2"/>
      <c r="G199" s="2"/>
      <c r="H199" s="2"/>
      <c r="I199" s="2"/>
      <c r="J199" s="2"/>
    </row>
    <row r="200" spans="1:10" x14ac:dyDescent="0.2">
      <c r="A200" s="2"/>
      <c r="B200" s="2"/>
      <c r="C200" s="2"/>
      <c r="D200" s="2"/>
      <c r="E200" s="2"/>
      <c r="F200" s="2"/>
      <c r="G200" s="2"/>
      <c r="H200" s="2"/>
      <c r="I200" s="2"/>
      <c r="J200" s="2"/>
    </row>
    <row r="201" spans="1:10" x14ac:dyDescent="0.2">
      <c r="A201" s="2"/>
      <c r="B201" s="2"/>
      <c r="C201" s="2"/>
      <c r="D201" s="2"/>
      <c r="E201" s="2"/>
      <c r="F201" s="2"/>
      <c r="G201" s="2"/>
      <c r="H201" s="2"/>
      <c r="I201" s="2"/>
      <c r="J201" s="2"/>
    </row>
    <row r="202" spans="1:10" x14ac:dyDescent="0.2">
      <c r="A202" s="2"/>
      <c r="B202" s="2"/>
      <c r="C202" s="2"/>
      <c r="D202" s="2"/>
      <c r="E202" s="2"/>
      <c r="F202" s="2"/>
      <c r="G202" s="2"/>
      <c r="H202" s="2"/>
      <c r="I202" s="2"/>
      <c r="J202" s="2"/>
    </row>
    <row r="203" spans="1:10" x14ac:dyDescent="0.2">
      <c r="A203" s="2"/>
      <c r="B203" s="2"/>
      <c r="C203" s="2"/>
      <c r="D203" s="2"/>
      <c r="E203" s="2"/>
      <c r="F203" s="2"/>
      <c r="G203" s="2"/>
      <c r="H203" s="2"/>
      <c r="I203" s="2"/>
      <c r="J203" s="2"/>
    </row>
    <row r="204" spans="1:10" x14ac:dyDescent="0.2">
      <c r="A204" s="2"/>
      <c r="B204" s="2"/>
      <c r="C204" s="2"/>
      <c r="D204" s="2"/>
      <c r="E204" s="2"/>
      <c r="F204" s="2"/>
      <c r="G204" s="2"/>
      <c r="H204" s="2"/>
      <c r="I204" s="2"/>
      <c r="J204" s="2"/>
    </row>
    <row r="205" spans="1:10" x14ac:dyDescent="0.2">
      <c r="A205" s="2"/>
      <c r="B205" s="2"/>
      <c r="C205" s="2"/>
      <c r="D205" s="2"/>
      <c r="E205" s="2"/>
      <c r="F205" s="2"/>
      <c r="G205" s="2"/>
      <c r="H205" s="2"/>
      <c r="I205" s="2"/>
      <c r="J205" s="2"/>
    </row>
    <row r="206" spans="1:10" x14ac:dyDescent="0.2">
      <c r="A206" s="2"/>
      <c r="B206" s="2"/>
      <c r="C206" s="2"/>
      <c r="D206" s="2"/>
      <c r="E206" s="2"/>
      <c r="F206" s="2"/>
      <c r="G206" s="2"/>
      <c r="H206" s="2"/>
      <c r="I206" s="2"/>
      <c r="J206" s="2"/>
    </row>
    <row r="207" spans="1:10" x14ac:dyDescent="0.2">
      <c r="A207" s="2"/>
      <c r="B207" s="2"/>
      <c r="C207" s="2"/>
      <c r="D207" s="2"/>
      <c r="E207" s="2"/>
      <c r="F207" s="2"/>
      <c r="G207" s="2"/>
      <c r="H207" s="2"/>
      <c r="I207" s="2"/>
      <c r="J207" s="2"/>
    </row>
    <row r="208" spans="1:10" x14ac:dyDescent="0.2">
      <c r="A208" s="2"/>
      <c r="B208" s="2"/>
      <c r="C208" s="2"/>
      <c r="D208" s="2"/>
      <c r="E208" s="2"/>
      <c r="F208" s="2"/>
      <c r="G208" s="2"/>
      <c r="H208" s="2"/>
      <c r="I208" s="2"/>
      <c r="J208" s="2"/>
    </row>
    <row r="209" spans="1:10" x14ac:dyDescent="0.2">
      <c r="A209" s="2"/>
      <c r="B209" s="2"/>
      <c r="C209" s="2"/>
      <c r="D209" s="2"/>
      <c r="E209" s="2"/>
      <c r="F209" s="2"/>
      <c r="G209" s="2"/>
      <c r="H209" s="2"/>
      <c r="I209" s="2"/>
      <c r="J209" s="2"/>
    </row>
    <row r="210" spans="1:10" x14ac:dyDescent="0.2">
      <c r="A210" s="2"/>
      <c r="B210" s="2"/>
      <c r="C210" s="2"/>
      <c r="D210" s="2"/>
      <c r="E210" s="2"/>
      <c r="F210" s="2"/>
      <c r="G210" s="2"/>
      <c r="H210" s="2"/>
      <c r="I210" s="2"/>
      <c r="J210" s="2"/>
    </row>
    <row r="211" spans="1:10" x14ac:dyDescent="0.2">
      <c r="A211" s="2"/>
      <c r="B211" s="2"/>
      <c r="C211" s="2"/>
      <c r="D211" s="2"/>
      <c r="E211" s="2"/>
      <c r="F211" s="2"/>
      <c r="G211" s="2"/>
      <c r="H211" s="2"/>
      <c r="I211" s="2"/>
      <c r="J211" s="2"/>
    </row>
    <row r="212" spans="1:10" x14ac:dyDescent="0.2">
      <c r="A212" s="2"/>
      <c r="B212" s="2"/>
      <c r="C212" s="2"/>
      <c r="D212" s="2"/>
      <c r="E212" s="2"/>
      <c r="F212" s="2"/>
      <c r="G212" s="2"/>
      <c r="H212" s="2"/>
      <c r="I212" s="2"/>
      <c r="J212" s="2"/>
    </row>
    <row r="213" spans="1:10" x14ac:dyDescent="0.2">
      <c r="A213" s="2"/>
      <c r="B213" s="2"/>
      <c r="C213" s="2"/>
      <c r="D213" s="2"/>
      <c r="E213" s="2"/>
      <c r="F213" s="2"/>
      <c r="G213" s="2"/>
      <c r="H213" s="2"/>
      <c r="I213" s="2"/>
      <c r="J213" s="2"/>
    </row>
    <row r="214" spans="1:10" x14ac:dyDescent="0.2">
      <c r="A214" s="2"/>
      <c r="B214" s="2"/>
      <c r="C214" s="2"/>
      <c r="D214" s="2"/>
      <c r="E214" s="2"/>
      <c r="F214" s="2"/>
      <c r="G214" s="2"/>
      <c r="H214" s="2"/>
      <c r="I214" s="2"/>
      <c r="J214" s="2"/>
    </row>
    <row r="215" spans="1:10" x14ac:dyDescent="0.2">
      <c r="A215" s="2"/>
      <c r="B215" s="2"/>
      <c r="C215" s="2"/>
      <c r="D215" s="2"/>
      <c r="E215" s="2"/>
      <c r="F215" s="2"/>
      <c r="G215" s="2"/>
      <c r="H215" s="2"/>
      <c r="I215" s="2"/>
      <c r="J215" s="2"/>
    </row>
    <row r="216" spans="1:10" x14ac:dyDescent="0.2">
      <c r="A216" s="2"/>
      <c r="B216" s="2"/>
      <c r="C216" s="2"/>
      <c r="D216" s="2"/>
      <c r="E216" s="2"/>
      <c r="F216" s="2"/>
      <c r="G216" s="2"/>
      <c r="H216" s="2"/>
      <c r="I216" s="2"/>
      <c r="J216" s="2"/>
    </row>
    <row r="217" spans="1:10" x14ac:dyDescent="0.2">
      <c r="A217" s="2"/>
      <c r="B217" s="2"/>
      <c r="C217" s="2"/>
      <c r="D217" s="2"/>
      <c r="E217" s="2"/>
      <c r="F217" s="2"/>
      <c r="G217" s="2"/>
      <c r="H217" s="2"/>
      <c r="I217" s="2"/>
      <c r="J217" s="2"/>
    </row>
    <row r="218" spans="1:10" x14ac:dyDescent="0.2">
      <c r="A218" s="2"/>
      <c r="B218" s="2"/>
      <c r="C218" s="2"/>
      <c r="D218" s="2"/>
      <c r="E218" s="2"/>
      <c r="F218" s="2"/>
      <c r="G218" s="2"/>
      <c r="H218" s="2"/>
      <c r="I218" s="2"/>
      <c r="J218" s="2"/>
    </row>
    <row r="219" spans="1:10" x14ac:dyDescent="0.2">
      <c r="A219" s="2"/>
      <c r="B219" s="2"/>
      <c r="C219" s="2"/>
      <c r="D219" s="2"/>
      <c r="E219" s="2"/>
      <c r="F219" s="2"/>
      <c r="G219" s="2"/>
      <c r="H219" s="2"/>
      <c r="I219" s="2"/>
      <c r="J219" s="2"/>
    </row>
    <row r="220" spans="1:10" x14ac:dyDescent="0.2">
      <c r="A220" s="2"/>
      <c r="B220" s="2"/>
      <c r="C220" s="2"/>
      <c r="D220" s="2"/>
      <c r="E220" s="2"/>
      <c r="F220" s="2"/>
      <c r="G220" s="2"/>
      <c r="H220" s="2"/>
      <c r="I220" s="2"/>
      <c r="J220" s="2"/>
    </row>
    <row r="221" spans="1:10" x14ac:dyDescent="0.2">
      <c r="A221" s="2"/>
      <c r="B221" s="2"/>
      <c r="C221" s="2"/>
      <c r="D221" s="2"/>
      <c r="E221" s="2"/>
      <c r="F221" s="2"/>
      <c r="G221" s="2"/>
      <c r="H221" s="2"/>
      <c r="I221" s="2"/>
      <c r="J221" s="2"/>
    </row>
    <row r="222" spans="1:10" x14ac:dyDescent="0.2">
      <c r="A222" s="2"/>
      <c r="B222" s="2"/>
      <c r="C222" s="2"/>
      <c r="D222" s="2"/>
      <c r="E222" s="2"/>
      <c r="F222" s="2"/>
      <c r="G222" s="2"/>
      <c r="H222" s="2"/>
      <c r="I222" s="2"/>
      <c r="J222" s="2"/>
    </row>
    <row r="223" spans="1:10" x14ac:dyDescent="0.2">
      <c r="A223" s="2"/>
      <c r="B223" s="2"/>
      <c r="C223" s="2"/>
      <c r="D223" s="2"/>
      <c r="E223" s="2"/>
      <c r="F223" s="2"/>
      <c r="G223" s="2"/>
      <c r="H223" s="2"/>
      <c r="I223" s="2"/>
      <c r="J223" s="2"/>
    </row>
    <row r="224" spans="1:10" x14ac:dyDescent="0.2">
      <c r="A224" s="2"/>
      <c r="B224" s="2"/>
      <c r="C224" s="2"/>
      <c r="D224" s="2"/>
      <c r="E224" s="2"/>
      <c r="F224" s="2"/>
      <c r="G224" s="2"/>
      <c r="H224" s="2"/>
      <c r="I224" s="2"/>
      <c r="J224" s="2"/>
    </row>
    <row r="225" spans="1:10" x14ac:dyDescent="0.2">
      <c r="A225" s="2"/>
      <c r="B225" s="2"/>
      <c r="C225" s="2"/>
      <c r="D225" s="2"/>
      <c r="E225" s="2"/>
      <c r="F225" s="2"/>
      <c r="G225" s="2"/>
      <c r="H225" s="2"/>
      <c r="I225" s="2"/>
      <c r="J225" s="2"/>
    </row>
    <row r="226" spans="1:10" x14ac:dyDescent="0.2">
      <c r="A226" s="2"/>
      <c r="B226" s="2"/>
      <c r="C226" s="2"/>
      <c r="D226" s="2"/>
      <c r="E226" s="2"/>
      <c r="F226" s="2"/>
      <c r="G226" s="2"/>
      <c r="H226" s="2"/>
      <c r="I226" s="2"/>
      <c r="J226" s="2"/>
    </row>
    <row r="227" spans="1:10" x14ac:dyDescent="0.2">
      <c r="A227" s="2"/>
      <c r="B227" s="2"/>
      <c r="C227" s="2"/>
      <c r="D227" s="2"/>
      <c r="E227" s="2"/>
      <c r="F227" s="2"/>
      <c r="G227" s="2"/>
      <c r="H227" s="2"/>
      <c r="I227" s="2"/>
      <c r="J227" s="2"/>
    </row>
    <row r="228" spans="1:10" x14ac:dyDescent="0.2">
      <c r="A228" s="2"/>
      <c r="B228" s="2"/>
      <c r="C228" s="2"/>
      <c r="D228" s="2"/>
      <c r="E228" s="2"/>
      <c r="F228" s="2"/>
      <c r="G228" s="2"/>
      <c r="H228" s="2"/>
      <c r="I228" s="2"/>
      <c r="J228" s="2"/>
    </row>
    <row r="229" spans="1:10" x14ac:dyDescent="0.2">
      <c r="A229" s="2"/>
      <c r="B229" s="2"/>
      <c r="C229" s="2"/>
      <c r="D229" s="2"/>
      <c r="E229" s="2"/>
      <c r="F229" s="2"/>
      <c r="G229" s="2"/>
      <c r="H229" s="2"/>
      <c r="I229" s="2"/>
      <c r="J229" s="2"/>
    </row>
    <row r="230" spans="1:10" x14ac:dyDescent="0.2">
      <c r="A230" s="2"/>
      <c r="B230" s="2"/>
      <c r="C230" s="2"/>
      <c r="D230" s="2"/>
      <c r="E230" s="2"/>
      <c r="F230" s="2"/>
      <c r="G230" s="2"/>
      <c r="H230" s="2"/>
      <c r="I230" s="2"/>
      <c r="J230" s="2"/>
    </row>
    <row r="231" spans="1:10" x14ac:dyDescent="0.2">
      <c r="A231" s="2"/>
      <c r="B231" s="2"/>
      <c r="C231" s="2"/>
      <c r="D231" s="2"/>
      <c r="E231" s="2"/>
      <c r="F231" s="2"/>
      <c r="G231" s="2"/>
      <c r="H231" s="2"/>
      <c r="I231" s="2"/>
      <c r="J231" s="2"/>
    </row>
    <row r="232" spans="1:10" x14ac:dyDescent="0.2">
      <c r="A232" s="2"/>
      <c r="B232" s="2"/>
      <c r="C232" s="2"/>
      <c r="D232" s="2"/>
      <c r="E232" s="2"/>
      <c r="F232" s="2"/>
      <c r="G232" s="2"/>
      <c r="H232" s="2"/>
      <c r="I232" s="2"/>
      <c r="J232" s="2"/>
    </row>
    <row r="233" spans="1:10" x14ac:dyDescent="0.2">
      <c r="A233" s="2"/>
      <c r="B233" s="2"/>
      <c r="C233" s="2"/>
      <c r="D233" s="2"/>
      <c r="E233" s="2"/>
      <c r="F233" s="2"/>
      <c r="G233" s="2"/>
      <c r="H233" s="2"/>
      <c r="I233" s="2"/>
      <c r="J233" s="2"/>
    </row>
    <row r="234" spans="1:10" x14ac:dyDescent="0.2">
      <c r="A234" s="2"/>
      <c r="B234" s="2"/>
      <c r="C234" s="2"/>
      <c r="D234" s="2"/>
      <c r="E234" s="2"/>
      <c r="F234" s="2"/>
      <c r="G234" s="2"/>
      <c r="H234" s="2"/>
      <c r="I234" s="2"/>
      <c r="J234" s="2"/>
    </row>
    <row r="235" spans="1:10" x14ac:dyDescent="0.2">
      <c r="A235" s="2"/>
      <c r="B235" s="2"/>
      <c r="C235" s="2"/>
      <c r="D235" s="2"/>
      <c r="E235" s="2"/>
      <c r="F235" s="2"/>
      <c r="G235" s="2"/>
      <c r="H235" s="2"/>
      <c r="I235" s="2"/>
      <c r="J235" s="2"/>
    </row>
    <row r="236" spans="1:10" x14ac:dyDescent="0.2">
      <c r="A236" s="2"/>
      <c r="B236" s="2"/>
      <c r="C236" s="2"/>
      <c r="D236" s="2"/>
      <c r="E236" s="2"/>
      <c r="F236" s="2"/>
      <c r="G236" s="2"/>
      <c r="H236" s="2"/>
      <c r="I236" s="2"/>
      <c r="J236" s="2"/>
    </row>
    <row r="237" spans="1:10" x14ac:dyDescent="0.2">
      <c r="A237" s="2"/>
      <c r="B237" s="2"/>
      <c r="C237" s="2"/>
      <c r="D237" s="2"/>
      <c r="E237" s="2"/>
      <c r="F237" s="2"/>
      <c r="G237" s="2"/>
      <c r="H237" s="2"/>
      <c r="I237" s="2"/>
      <c r="J237" s="2"/>
    </row>
    <row r="238" spans="1:10" x14ac:dyDescent="0.2">
      <c r="A238" s="2"/>
      <c r="B238" s="2"/>
      <c r="C238" s="2"/>
      <c r="D238" s="2"/>
      <c r="E238" s="2"/>
      <c r="F238" s="2"/>
      <c r="G238" s="2"/>
      <c r="H238" s="2"/>
      <c r="I238" s="2"/>
      <c r="J238" s="2"/>
    </row>
    <row r="239" spans="1:10" x14ac:dyDescent="0.2">
      <c r="A239" s="2"/>
      <c r="B239" s="2"/>
      <c r="C239" s="2"/>
      <c r="D239" s="2"/>
      <c r="E239" s="2"/>
      <c r="F239" s="2"/>
      <c r="G239" s="2"/>
      <c r="H239" s="2"/>
      <c r="I239" s="2"/>
      <c r="J239" s="2"/>
    </row>
    <row r="240" spans="1:10" x14ac:dyDescent="0.2">
      <c r="A240" s="2"/>
      <c r="B240" s="2"/>
      <c r="C240" s="2"/>
      <c r="D240" s="2"/>
      <c r="E240" s="2"/>
      <c r="F240" s="2"/>
      <c r="G240" s="2"/>
      <c r="H240" s="2"/>
      <c r="I240" s="2"/>
      <c r="J240" s="2"/>
    </row>
    <row r="241" spans="1:10" x14ac:dyDescent="0.2">
      <c r="A241" s="2"/>
      <c r="B241" s="2"/>
      <c r="C241" s="2"/>
      <c r="D241" s="2"/>
      <c r="E241" s="2"/>
      <c r="F241" s="2"/>
      <c r="G241" s="2"/>
      <c r="H241" s="2"/>
      <c r="I241" s="2"/>
      <c r="J241" s="2"/>
    </row>
    <row r="242" spans="1:10" x14ac:dyDescent="0.2">
      <c r="A242" s="2"/>
      <c r="B242" s="2"/>
      <c r="C242" s="2"/>
      <c r="D242" s="2"/>
      <c r="E242" s="2"/>
      <c r="F242" s="2"/>
      <c r="G242" s="2"/>
      <c r="H242" s="2"/>
      <c r="I242" s="2"/>
      <c r="J242" s="2"/>
    </row>
    <row r="243" spans="1:10" x14ac:dyDescent="0.2">
      <c r="A243" s="2"/>
      <c r="B243" s="2"/>
      <c r="C243" s="2"/>
      <c r="D243" s="2"/>
      <c r="E243" s="2"/>
      <c r="F243" s="2"/>
      <c r="G243" s="2"/>
      <c r="H243" s="2"/>
      <c r="I243" s="2"/>
      <c r="J243" s="2"/>
    </row>
    <row r="244" spans="1:10" x14ac:dyDescent="0.2">
      <c r="A244" s="2"/>
      <c r="B244" s="2"/>
      <c r="C244" s="2"/>
      <c r="D244" s="2"/>
      <c r="E244" s="2"/>
      <c r="F244" s="2"/>
      <c r="G244" s="2"/>
      <c r="H244" s="2"/>
      <c r="I244" s="2"/>
      <c r="J244" s="2"/>
    </row>
    <row r="245" spans="1:10" x14ac:dyDescent="0.2">
      <c r="A245" s="2"/>
      <c r="B245" s="2"/>
      <c r="C245" s="2"/>
      <c r="D245" s="2"/>
      <c r="E245" s="2"/>
      <c r="F245" s="2"/>
      <c r="G245" s="2"/>
      <c r="H245" s="2"/>
      <c r="I245" s="2"/>
      <c r="J245" s="2"/>
    </row>
    <row r="246" spans="1:10" x14ac:dyDescent="0.2">
      <c r="A246" s="2"/>
      <c r="B246" s="2"/>
      <c r="C246" s="2"/>
      <c r="D246" s="2"/>
      <c r="E246" s="2"/>
      <c r="F246" s="2"/>
      <c r="G246" s="2"/>
      <c r="H246" s="2"/>
      <c r="I246" s="2"/>
      <c r="J246" s="2"/>
    </row>
    <row r="247" spans="1:10" x14ac:dyDescent="0.2">
      <c r="A247" s="2"/>
      <c r="B247" s="2"/>
      <c r="C247" s="2"/>
      <c r="D247" s="2"/>
      <c r="E247" s="2"/>
      <c r="F247" s="2"/>
      <c r="G247" s="2"/>
      <c r="H247" s="2"/>
      <c r="I247" s="2"/>
      <c r="J247" s="2"/>
    </row>
    <row r="248" spans="1:10" x14ac:dyDescent="0.2">
      <c r="A248" s="2"/>
      <c r="B248" s="2"/>
      <c r="C248" s="2"/>
      <c r="D248" s="2"/>
      <c r="E248" s="2"/>
      <c r="F248" s="2"/>
      <c r="G248" s="2"/>
      <c r="H248" s="2"/>
      <c r="I248" s="2"/>
      <c r="J248" s="2"/>
    </row>
    <row r="249" spans="1:10" x14ac:dyDescent="0.2">
      <c r="A249" s="2"/>
      <c r="B249" s="2"/>
      <c r="C249" s="2"/>
      <c r="D249" s="2"/>
      <c r="E249" s="2"/>
      <c r="F249" s="2"/>
      <c r="G249" s="2"/>
      <c r="H249" s="2"/>
      <c r="I249" s="2"/>
      <c r="J249" s="2"/>
    </row>
    <row r="250" spans="1:10" x14ac:dyDescent="0.2">
      <c r="A250" s="2"/>
      <c r="B250" s="2"/>
      <c r="C250" s="2"/>
      <c r="D250" s="2"/>
      <c r="E250" s="2"/>
      <c r="F250" s="2"/>
      <c r="G250" s="2"/>
      <c r="H250" s="2"/>
      <c r="I250" s="2"/>
      <c r="J250" s="2"/>
    </row>
    <row r="251" spans="1:10" x14ac:dyDescent="0.2">
      <c r="A251" s="2"/>
      <c r="B251" s="2"/>
      <c r="C251" s="2"/>
      <c r="D251" s="2"/>
      <c r="E251" s="2"/>
      <c r="F251" s="2"/>
      <c r="G251" s="2"/>
      <c r="H251" s="2"/>
      <c r="I251" s="2"/>
      <c r="J251" s="2"/>
    </row>
    <row r="252" spans="1:10" x14ac:dyDescent="0.2">
      <c r="A252" s="2"/>
      <c r="B252" s="2"/>
      <c r="C252" s="2"/>
      <c r="D252" s="2"/>
      <c r="E252" s="2"/>
      <c r="F252" s="2"/>
      <c r="G252" s="2"/>
      <c r="H252" s="2"/>
      <c r="I252" s="2"/>
      <c r="J252" s="2"/>
    </row>
    <row r="253" spans="1:10" x14ac:dyDescent="0.2">
      <c r="A253" s="2"/>
      <c r="B253" s="2"/>
      <c r="C253" s="2"/>
      <c r="D253" s="2"/>
      <c r="E253" s="2"/>
      <c r="F253" s="2"/>
      <c r="G253" s="2"/>
      <c r="H253" s="2"/>
      <c r="I253" s="2"/>
      <c r="J253" s="2"/>
    </row>
    <row r="254" spans="1:10" x14ac:dyDescent="0.2">
      <c r="A254" s="2"/>
      <c r="B254" s="2"/>
      <c r="C254" s="2"/>
      <c r="D254" s="2"/>
      <c r="E254" s="2"/>
      <c r="F254" s="2"/>
      <c r="G254" s="2"/>
      <c r="H254" s="2"/>
      <c r="I254" s="2"/>
      <c r="J254" s="2"/>
    </row>
    <row r="255" spans="1:10" x14ac:dyDescent="0.2">
      <c r="A255" s="2"/>
      <c r="B255" s="2"/>
      <c r="C255" s="2"/>
      <c r="D255" s="2"/>
      <c r="E255" s="2"/>
      <c r="F255" s="2"/>
      <c r="G255" s="2"/>
      <c r="H255" s="2"/>
      <c r="I255" s="2"/>
      <c r="J255" s="2"/>
    </row>
    <row r="256" spans="1:10" x14ac:dyDescent="0.2">
      <c r="A256" s="2"/>
      <c r="B256" s="2"/>
      <c r="C256" s="2"/>
      <c r="D256" s="2"/>
      <c r="E256" s="2"/>
      <c r="F256" s="2"/>
      <c r="G256" s="2"/>
      <c r="H256" s="2"/>
      <c r="I256" s="2"/>
      <c r="J256" s="2"/>
    </row>
    <row r="257" spans="1:10" x14ac:dyDescent="0.2">
      <c r="A257" s="2"/>
      <c r="B257" s="2"/>
      <c r="C257" s="2"/>
      <c r="D257" s="2"/>
      <c r="E257" s="2"/>
      <c r="F257" s="2"/>
      <c r="G257" s="2"/>
      <c r="H257" s="2"/>
      <c r="I257" s="2"/>
      <c r="J257" s="2"/>
    </row>
    <row r="258" spans="1:10" x14ac:dyDescent="0.2">
      <c r="A258" s="2"/>
      <c r="B258" s="2"/>
      <c r="C258" s="2"/>
      <c r="D258" s="2"/>
      <c r="E258" s="2"/>
      <c r="F258" s="2"/>
      <c r="G258" s="2"/>
      <c r="H258" s="2"/>
      <c r="I258" s="2"/>
      <c r="J258" s="2"/>
    </row>
    <row r="259" spans="1:10" x14ac:dyDescent="0.2">
      <c r="A259" s="2"/>
      <c r="B259" s="2"/>
      <c r="C259" s="2"/>
      <c r="D259" s="2"/>
      <c r="E259" s="2"/>
      <c r="F259" s="2"/>
      <c r="G259" s="2"/>
      <c r="H259" s="2"/>
      <c r="I259" s="2"/>
      <c r="J259" s="2"/>
    </row>
    <row r="260" spans="1:10" x14ac:dyDescent="0.2">
      <c r="A260" s="2"/>
      <c r="B260" s="2"/>
      <c r="C260" s="2"/>
      <c r="D260" s="2"/>
      <c r="E260" s="2"/>
      <c r="F260" s="2"/>
      <c r="G260" s="2"/>
      <c r="H260" s="2"/>
      <c r="I260" s="2"/>
      <c r="J260" s="2"/>
    </row>
    <row r="261" spans="1:10" x14ac:dyDescent="0.2">
      <c r="A261" s="2"/>
      <c r="B261" s="2"/>
      <c r="C261" s="2"/>
      <c r="D261" s="2"/>
      <c r="E261" s="2"/>
      <c r="F261" s="2"/>
      <c r="G261" s="2"/>
      <c r="H261" s="2"/>
      <c r="I261" s="2"/>
      <c r="J261" s="2"/>
    </row>
    <row r="262" spans="1:10" x14ac:dyDescent="0.2">
      <c r="A262" s="2"/>
      <c r="B262" s="2"/>
      <c r="C262" s="2"/>
      <c r="D262" s="2"/>
      <c r="E262" s="2"/>
      <c r="F262" s="2"/>
      <c r="G262" s="2"/>
      <c r="H262" s="2"/>
      <c r="I262" s="2"/>
      <c r="J262" s="2"/>
    </row>
    <row r="263" spans="1:10" x14ac:dyDescent="0.2">
      <c r="A263" s="2"/>
      <c r="B263" s="2"/>
      <c r="C263" s="2"/>
      <c r="D263" s="2"/>
      <c r="E263" s="2"/>
      <c r="F263" s="2"/>
      <c r="G263" s="2"/>
      <c r="H263" s="2"/>
      <c r="I263" s="2"/>
      <c r="J263" s="2"/>
    </row>
    <row r="264" spans="1:10" x14ac:dyDescent="0.2">
      <c r="A264" s="2"/>
      <c r="B264" s="2"/>
      <c r="C264" s="2"/>
      <c r="D264" s="2"/>
      <c r="E264" s="2"/>
      <c r="F264" s="2"/>
      <c r="G264" s="2"/>
      <c r="H264" s="2"/>
      <c r="I264" s="2"/>
      <c r="J264" s="2"/>
    </row>
    <row r="265" spans="1:10" x14ac:dyDescent="0.2">
      <c r="A265" s="2"/>
      <c r="B265" s="2"/>
      <c r="C265" s="2"/>
      <c r="D265" s="2"/>
      <c r="E265" s="2"/>
      <c r="F265" s="2"/>
      <c r="G265" s="2"/>
      <c r="H265" s="2"/>
      <c r="I265" s="2"/>
      <c r="J265" s="2"/>
    </row>
    <row r="266" spans="1:10" x14ac:dyDescent="0.2">
      <c r="A266" s="2"/>
      <c r="B266" s="2"/>
      <c r="C266" s="2"/>
      <c r="D266" s="2"/>
      <c r="E266" s="2"/>
      <c r="F266" s="2"/>
      <c r="G266" s="2"/>
      <c r="H266" s="2"/>
      <c r="I266" s="2"/>
      <c r="J266" s="2"/>
    </row>
    <row r="267" spans="1:10" x14ac:dyDescent="0.2">
      <c r="A267" s="2"/>
      <c r="B267" s="2"/>
      <c r="C267" s="2"/>
      <c r="D267" s="2"/>
      <c r="E267" s="2"/>
      <c r="F267" s="2"/>
      <c r="G267" s="2"/>
      <c r="H267" s="2"/>
      <c r="I267" s="2"/>
      <c r="J267" s="2"/>
    </row>
    <row r="268" spans="1:10" x14ac:dyDescent="0.2">
      <c r="A268" s="2"/>
      <c r="B268" s="2"/>
      <c r="C268" s="2"/>
      <c r="D268" s="2"/>
      <c r="E268" s="2"/>
      <c r="F268" s="2"/>
      <c r="G268" s="2"/>
      <c r="H268" s="2"/>
      <c r="I268" s="2"/>
      <c r="J268" s="2"/>
    </row>
    <row r="269" spans="1:10" x14ac:dyDescent="0.2">
      <c r="A269" s="2"/>
      <c r="B269" s="2"/>
      <c r="C269" s="2"/>
      <c r="D269" s="2"/>
      <c r="E269" s="2"/>
      <c r="F269" s="2"/>
      <c r="G269" s="2"/>
      <c r="H269" s="2"/>
      <c r="I269" s="2"/>
      <c r="J269" s="2"/>
    </row>
    <row r="270" spans="1:10" x14ac:dyDescent="0.2">
      <c r="A270" s="2"/>
      <c r="B270" s="2"/>
      <c r="C270" s="2"/>
      <c r="D270" s="2"/>
      <c r="E270" s="2"/>
      <c r="F270" s="2"/>
      <c r="G270" s="2"/>
      <c r="H270" s="2"/>
      <c r="I270" s="2"/>
      <c r="J270" s="2"/>
    </row>
    <row r="271" spans="1:10" x14ac:dyDescent="0.2">
      <c r="A271" s="2"/>
      <c r="B271" s="2"/>
      <c r="C271" s="2"/>
      <c r="D271" s="2"/>
      <c r="E271" s="2"/>
      <c r="F271" s="2"/>
      <c r="G271" s="2"/>
      <c r="H271" s="2"/>
      <c r="I271" s="2"/>
      <c r="J271" s="2"/>
    </row>
    <row r="272" spans="1:10" x14ac:dyDescent="0.2">
      <c r="A272" s="2"/>
      <c r="B272" s="2"/>
      <c r="C272" s="2"/>
      <c r="D272" s="2"/>
      <c r="E272" s="2"/>
      <c r="F272" s="2"/>
      <c r="G272" s="2"/>
      <c r="H272" s="2"/>
      <c r="I272" s="2"/>
      <c r="J272" s="2"/>
    </row>
    <row r="273" spans="1:10" x14ac:dyDescent="0.2">
      <c r="A273" s="2"/>
      <c r="B273" s="2"/>
      <c r="C273" s="2"/>
      <c r="D273" s="2"/>
      <c r="E273" s="2"/>
      <c r="F273" s="2"/>
      <c r="G273" s="2"/>
      <c r="H273" s="2"/>
      <c r="I273" s="2"/>
      <c r="J273" s="2"/>
    </row>
    <row r="274" spans="1:10" x14ac:dyDescent="0.2">
      <c r="A274" s="2"/>
      <c r="B274" s="2"/>
      <c r="C274" s="2"/>
      <c r="D274" s="2"/>
      <c r="E274" s="2"/>
      <c r="F274" s="2"/>
      <c r="G274" s="2"/>
      <c r="H274" s="2"/>
      <c r="I274" s="2"/>
      <c r="J274" s="2"/>
    </row>
    <row r="275" spans="1:10" x14ac:dyDescent="0.2">
      <c r="A275" s="2"/>
      <c r="B275" s="2"/>
      <c r="C275" s="2"/>
      <c r="D275" s="2"/>
      <c r="E275" s="2"/>
      <c r="F275" s="2"/>
      <c r="G275" s="2"/>
      <c r="H275" s="2"/>
      <c r="I275" s="2"/>
      <c r="J275" s="2"/>
    </row>
    <row r="276" spans="1:10" x14ac:dyDescent="0.2">
      <c r="A276" s="2"/>
      <c r="B276" s="2"/>
      <c r="C276" s="2"/>
      <c r="D276" s="2"/>
      <c r="E276" s="2"/>
      <c r="F276" s="2"/>
      <c r="G276" s="2"/>
      <c r="H276" s="2"/>
      <c r="I276" s="2"/>
      <c r="J276" s="2"/>
    </row>
    <row r="277" spans="1:10" x14ac:dyDescent="0.2">
      <c r="A277" s="2"/>
      <c r="B277" s="2"/>
      <c r="C277" s="2"/>
      <c r="D277" s="2"/>
      <c r="E277" s="2"/>
      <c r="F277" s="2"/>
      <c r="G277" s="2"/>
      <c r="H277" s="2"/>
      <c r="I277" s="2"/>
      <c r="J277" s="2"/>
    </row>
    <row r="278" spans="1:10" x14ac:dyDescent="0.2">
      <c r="A278" s="2"/>
      <c r="B278" s="2"/>
      <c r="C278" s="2"/>
      <c r="D278" s="2"/>
      <c r="E278" s="2"/>
      <c r="F278" s="2"/>
      <c r="G278" s="2"/>
      <c r="H278" s="2"/>
      <c r="I278" s="2"/>
      <c r="J278" s="2"/>
    </row>
    <row r="279" spans="1:10" x14ac:dyDescent="0.2">
      <c r="A279" s="2"/>
      <c r="B279" s="2"/>
      <c r="C279" s="2"/>
      <c r="D279" s="2"/>
      <c r="E279" s="2"/>
      <c r="F279" s="2"/>
      <c r="G279" s="2"/>
      <c r="H279" s="2"/>
      <c r="I279" s="2"/>
      <c r="J279" s="2"/>
    </row>
    <row r="280" spans="1:10" x14ac:dyDescent="0.2">
      <c r="A280" s="2"/>
      <c r="B280" s="2"/>
      <c r="C280" s="2"/>
      <c r="D280" s="2"/>
      <c r="E280" s="2"/>
      <c r="F280" s="2"/>
      <c r="G280" s="2"/>
      <c r="H280" s="2"/>
      <c r="I280" s="2"/>
      <c r="J280" s="2"/>
    </row>
    <row r="281" spans="1:10" x14ac:dyDescent="0.2">
      <c r="A281" s="2"/>
      <c r="B281" s="2"/>
      <c r="C281" s="2"/>
      <c r="D281" s="2"/>
      <c r="E281" s="2"/>
      <c r="F281" s="2"/>
      <c r="G281" s="2"/>
      <c r="H281" s="2"/>
      <c r="I281" s="2"/>
      <c r="J281" s="2"/>
    </row>
    <row r="282" spans="1:10" x14ac:dyDescent="0.2">
      <c r="A282" s="2"/>
      <c r="B282" s="2"/>
      <c r="C282" s="2"/>
      <c r="D282" s="2"/>
      <c r="E282" s="2"/>
      <c r="F282" s="2"/>
      <c r="G282" s="2"/>
      <c r="H282" s="2"/>
      <c r="I282" s="2"/>
      <c r="J282" s="2"/>
    </row>
    <row r="283" spans="1:10" x14ac:dyDescent="0.2">
      <c r="A283" s="2"/>
      <c r="B283" s="2"/>
      <c r="C283" s="2"/>
      <c r="D283" s="2"/>
      <c r="E283" s="2"/>
      <c r="F283" s="2"/>
      <c r="G283" s="2"/>
      <c r="H283" s="2"/>
      <c r="I283" s="2"/>
      <c r="J283" s="2"/>
    </row>
    <row r="284" spans="1:10" x14ac:dyDescent="0.2">
      <c r="A284" s="2"/>
      <c r="B284" s="2"/>
      <c r="C284" s="2"/>
      <c r="D284" s="2"/>
      <c r="E284" s="2"/>
      <c r="F284" s="2"/>
      <c r="G284" s="2"/>
      <c r="H284" s="2"/>
      <c r="I284" s="2"/>
      <c r="J284" s="2"/>
    </row>
    <row r="285" spans="1:10" x14ac:dyDescent="0.2">
      <c r="A285" s="2"/>
      <c r="B285" s="2"/>
      <c r="C285" s="2"/>
      <c r="D285" s="2"/>
      <c r="E285" s="2"/>
      <c r="F285" s="2"/>
      <c r="G285" s="2"/>
      <c r="H285" s="2"/>
      <c r="I285" s="2"/>
      <c r="J285" s="2"/>
    </row>
    <row r="286" spans="1:10" x14ac:dyDescent="0.2">
      <c r="A286" s="2"/>
      <c r="B286" s="2"/>
      <c r="C286" s="2"/>
      <c r="D286" s="2"/>
      <c r="E286" s="2"/>
      <c r="F286" s="2"/>
      <c r="G286" s="2"/>
      <c r="H286" s="2"/>
      <c r="I286" s="2"/>
      <c r="J286" s="2"/>
    </row>
    <row r="287" spans="1:10" x14ac:dyDescent="0.2">
      <c r="A287" s="2"/>
      <c r="B287" s="2"/>
      <c r="C287" s="2"/>
      <c r="D287" s="2"/>
      <c r="E287" s="2"/>
      <c r="F287" s="2"/>
      <c r="G287" s="2"/>
      <c r="H287" s="2"/>
      <c r="I287" s="2"/>
      <c r="J287" s="2"/>
    </row>
    <row r="288" spans="1:10" x14ac:dyDescent="0.2">
      <c r="A288" s="2"/>
      <c r="B288" s="2"/>
      <c r="C288" s="2"/>
      <c r="D288" s="2"/>
      <c r="E288" s="2"/>
      <c r="F288" s="2"/>
      <c r="G288" s="2"/>
      <c r="H288" s="2"/>
      <c r="I288" s="2"/>
      <c r="J288" s="2"/>
    </row>
    <row r="289" spans="1:10" x14ac:dyDescent="0.2">
      <c r="A289" s="2"/>
      <c r="B289" s="2"/>
      <c r="C289" s="2"/>
      <c r="D289" s="2"/>
      <c r="E289" s="2"/>
      <c r="F289" s="2"/>
      <c r="G289" s="2"/>
      <c r="H289" s="2"/>
      <c r="I289" s="2"/>
      <c r="J289" s="2"/>
    </row>
    <row r="290" spans="1:10" x14ac:dyDescent="0.2">
      <c r="A290" s="2"/>
      <c r="B290" s="2"/>
      <c r="C290" s="2"/>
      <c r="D290" s="2"/>
      <c r="E290" s="2"/>
      <c r="F290" s="2"/>
      <c r="G290" s="2"/>
      <c r="H290" s="2"/>
      <c r="I290" s="2"/>
      <c r="J290" s="2"/>
    </row>
    <row r="291" spans="1:10" x14ac:dyDescent="0.2">
      <c r="A291" s="2"/>
      <c r="B291" s="2"/>
      <c r="C291" s="2"/>
      <c r="D291" s="2"/>
      <c r="E291" s="2"/>
      <c r="F291" s="2"/>
      <c r="G291" s="2"/>
      <c r="H291" s="2"/>
      <c r="I291" s="2"/>
      <c r="J291" s="2"/>
    </row>
    <row r="292" spans="1:10" x14ac:dyDescent="0.2">
      <c r="A292" s="2"/>
      <c r="B292" s="2"/>
      <c r="C292" s="2"/>
      <c r="D292" s="2"/>
      <c r="E292" s="2"/>
      <c r="F292" s="2"/>
      <c r="G292" s="2"/>
      <c r="H292" s="2"/>
      <c r="I292" s="2"/>
      <c r="J292" s="2"/>
    </row>
    <row r="293" spans="1:10" x14ac:dyDescent="0.2">
      <c r="A293" s="2"/>
      <c r="B293" s="2"/>
      <c r="C293" s="2"/>
      <c r="D293" s="2"/>
      <c r="E293" s="2"/>
      <c r="F293" s="2"/>
      <c r="G293" s="2"/>
      <c r="H293" s="2"/>
      <c r="I293" s="2"/>
      <c r="J293" s="2"/>
    </row>
    <row r="294" spans="1:10" x14ac:dyDescent="0.2">
      <c r="A294" s="2"/>
      <c r="B294" s="2"/>
      <c r="C294" s="2"/>
      <c r="D294" s="2"/>
      <c r="E294" s="2"/>
      <c r="F294" s="2"/>
      <c r="G294" s="2"/>
      <c r="H294" s="2"/>
      <c r="I294" s="2"/>
      <c r="J294" s="2"/>
    </row>
    <row r="295" spans="1:10" x14ac:dyDescent="0.2">
      <c r="A295" s="2"/>
      <c r="B295" s="2"/>
      <c r="C295" s="2"/>
      <c r="D295" s="2"/>
      <c r="E295" s="2"/>
      <c r="F295" s="2"/>
      <c r="G295" s="2"/>
      <c r="H295" s="2"/>
      <c r="I295" s="2"/>
      <c r="J295" s="2"/>
    </row>
    <row r="296" spans="1:10" x14ac:dyDescent="0.2">
      <c r="A296" s="2"/>
      <c r="B296" s="2"/>
      <c r="C296" s="2"/>
      <c r="D296" s="2"/>
      <c r="E296" s="2"/>
      <c r="F296" s="2"/>
      <c r="G296" s="2"/>
      <c r="H296" s="2"/>
      <c r="I296" s="2"/>
      <c r="J296" s="2"/>
    </row>
    <row r="297" spans="1:10" x14ac:dyDescent="0.2">
      <c r="A297" s="2"/>
      <c r="B297" s="2"/>
      <c r="C297" s="2"/>
      <c r="D297" s="2"/>
      <c r="E297" s="2"/>
      <c r="F297" s="2"/>
      <c r="G297" s="2"/>
      <c r="H297" s="2"/>
      <c r="I297" s="2"/>
      <c r="J297" s="2"/>
    </row>
    <row r="298" spans="1:10" x14ac:dyDescent="0.2">
      <c r="A298" s="2"/>
      <c r="B298" s="2"/>
      <c r="C298" s="2"/>
      <c r="D298" s="2"/>
      <c r="E298" s="2"/>
      <c r="F298" s="2"/>
      <c r="G298" s="2"/>
      <c r="H298" s="2"/>
      <c r="I298" s="2"/>
      <c r="J298" s="2"/>
    </row>
    <row r="299" spans="1:10" x14ac:dyDescent="0.2">
      <c r="A299" s="2"/>
      <c r="B299" s="2"/>
      <c r="C299" s="2"/>
      <c r="D299" s="2"/>
      <c r="E299" s="2"/>
      <c r="F299" s="2"/>
      <c r="G299" s="2"/>
      <c r="H299" s="2"/>
      <c r="I299" s="2"/>
      <c r="J299" s="2"/>
    </row>
    <row r="300" spans="1:10" x14ac:dyDescent="0.2">
      <c r="A300" s="2"/>
      <c r="B300" s="2"/>
      <c r="C300" s="2"/>
      <c r="D300" s="2"/>
      <c r="E300" s="2"/>
      <c r="F300" s="2"/>
      <c r="G300" s="2"/>
      <c r="H300" s="2"/>
      <c r="I300" s="2"/>
      <c r="J300" s="2"/>
    </row>
    <row r="301" spans="1:10" x14ac:dyDescent="0.2">
      <c r="A301" s="2"/>
      <c r="B301" s="2"/>
      <c r="C301" s="2"/>
      <c r="D301" s="2"/>
      <c r="E301" s="2"/>
      <c r="F301" s="2"/>
      <c r="G301" s="2"/>
      <c r="H301" s="2"/>
      <c r="I301" s="2"/>
      <c r="J301" s="2"/>
    </row>
    <row r="302" spans="1:10" x14ac:dyDescent="0.2">
      <c r="A302" s="2"/>
      <c r="B302" s="2"/>
      <c r="C302" s="2"/>
      <c r="D302" s="2"/>
      <c r="E302" s="2"/>
      <c r="F302" s="2"/>
      <c r="G302" s="2"/>
      <c r="H302" s="2"/>
      <c r="I302" s="2"/>
      <c r="J302" s="2"/>
    </row>
    <row r="303" spans="1:10" x14ac:dyDescent="0.2">
      <c r="A303" s="2"/>
      <c r="B303" s="2"/>
      <c r="C303" s="2"/>
      <c r="D303" s="2"/>
      <c r="E303" s="2"/>
      <c r="F303" s="2"/>
      <c r="G303" s="2"/>
      <c r="H303" s="2"/>
      <c r="I303" s="2"/>
      <c r="J303" s="2"/>
    </row>
    <row r="304" spans="1:10" x14ac:dyDescent="0.2">
      <c r="A304" s="2"/>
      <c r="B304" s="2"/>
      <c r="C304" s="2"/>
      <c r="D304" s="2"/>
      <c r="E304" s="2"/>
      <c r="F304" s="2"/>
      <c r="G304" s="2"/>
      <c r="H304" s="2"/>
      <c r="I304" s="2"/>
      <c r="J304" s="2"/>
    </row>
    <row r="305" spans="1:10" x14ac:dyDescent="0.2">
      <c r="A305" s="2"/>
      <c r="B305" s="2"/>
      <c r="C305" s="2"/>
      <c r="D305" s="2"/>
      <c r="E305" s="2"/>
      <c r="F305" s="2"/>
      <c r="G305" s="2"/>
      <c r="H305" s="2"/>
      <c r="I305" s="2"/>
      <c r="J305" s="2"/>
    </row>
    <row r="306" spans="1:10" x14ac:dyDescent="0.2">
      <c r="A306" s="2"/>
      <c r="B306" s="2"/>
      <c r="C306" s="2"/>
      <c r="D306" s="2"/>
      <c r="E306" s="2"/>
      <c r="F306" s="2"/>
      <c r="G306" s="2"/>
      <c r="H306" s="2"/>
      <c r="I306" s="2"/>
      <c r="J306" s="2"/>
    </row>
    <row r="307" spans="1:10" x14ac:dyDescent="0.2">
      <c r="A307" s="2"/>
      <c r="B307" s="2"/>
      <c r="C307" s="2"/>
      <c r="D307" s="2"/>
      <c r="E307" s="2"/>
      <c r="F307" s="2"/>
      <c r="G307" s="2"/>
      <c r="H307" s="2"/>
      <c r="I307" s="2"/>
      <c r="J307" s="2"/>
    </row>
    <row r="308" spans="1:10" x14ac:dyDescent="0.2">
      <c r="A308" s="2"/>
      <c r="B308" s="2"/>
      <c r="C308" s="2"/>
      <c r="D308" s="2"/>
      <c r="E308" s="2"/>
      <c r="F308" s="2"/>
      <c r="G308" s="2"/>
      <c r="H308" s="2"/>
      <c r="I308" s="2"/>
      <c r="J308" s="2"/>
    </row>
    <row r="309" spans="1:10" x14ac:dyDescent="0.2">
      <c r="A309" s="2"/>
      <c r="B309" s="2"/>
      <c r="C309" s="2"/>
      <c r="D309" s="2"/>
      <c r="E309" s="2"/>
      <c r="F309" s="2"/>
      <c r="G309" s="2"/>
      <c r="H309" s="2"/>
      <c r="I309" s="2"/>
      <c r="J309" s="2"/>
    </row>
    <row r="310" spans="1:10" x14ac:dyDescent="0.2">
      <c r="A310" s="2"/>
      <c r="B310" s="2"/>
      <c r="C310" s="2"/>
      <c r="D310" s="2"/>
      <c r="E310" s="2"/>
      <c r="F310" s="2"/>
      <c r="G310" s="2"/>
      <c r="H310" s="2"/>
      <c r="I310" s="2"/>
      <c r="J310" s="2"/>
    </row>
    <row r="311" spans="1:10" x14ac:dyDescent="0.2">
      <c r="A311" s="2"/>
      <c r="B311" s="2"/>
      <c r="C311" s="2"/>
      <c r="D311" s="2"/>
      <c r="E311" s="2"/>
      <c r="F311" s="2"/>
      <c r="G311" s="2"/>
      <c r="H311" s="2"/>
      <c r="I311" s="2"/>
      <c r="J311" s="2"/>
    </row>
    <row r="312" spans="1:10" x14ac:dyDescent="0.2">
      <c r="A312" s="2"/>
      <c r="B312" s="2"/>
      <c r="C312" s="2"/>
      <c r="D312" s="2"/>
      <c r="E312" s="2"/>
      <c r="F312" s="2"/>
      <c r="G312" s="2"/>
      <c r="H312" s="2"/>
      <c r="I312" s="2"/>
      <c r="J312" s="2"/>
    </row>
    <row r="313" spans="1:10" x14ac:dyDescent="0.2">
      <c r="A313" s="2"/>
      <c r="B313" s="2"/>
      <c r="C313" s="2"/>
      <c r="D313" s="2"/>
      <c r="E313" s="2"/>
      <c r="F313" s="2"/>
      <c r="G313" s="2"/>
      <c r="H313" s="2"/>
      <c r="I313" s="2"/>
      <c r="J313" s="2"/>
    </row>
    <row r="314" spans="1:10" x14ac:dyDescent="0.2">
      <c r="A314" s="2"/>
      <c r="B314" s="2"/>
      <c r="C314" s="2"/>
      <c r="D314" s="2"/>
      <c r="E314" s="2"/>
      <c r="F314" s="2"/>
      <c r="G314" s="2"/>
      <c r="H314" s="2"/>
      <c r="I314" s="2"/>
      <c r="J314" s="2"/>
    </row>
    <row r="315" spans="1:10" x14ac:dyDescent="0.2">
      <c r="A315" s="2"/>
      <c r="B315" s="2"/>
      <c r="C315" s="2"/>
      <c r="D315" s="2"/>
      <c r="E315" s="2"/>
      <c r="F315" s="2"/>
      <c r="G315" s="2"/>
      <c r="H315" s="2"/>
      <c r="I315" s="2"/>
      <c r="J315" s="2"/>
    </row>
    <row r="316" spans="1:10" x14ac:dyDescent="0.2">
      <c r="A316" s="2"/>
      <c r="B316" s="2"/>
      <c r="C316" s="2"/>
      <c r="D316" s="2"/>
      <c r="E316" s="2"/>
      <c r="F316" s="2"/>
      <c r="G316" s="2"/>
      <c r="H316" s="2"/>
      <c r="I316" s="2"/>
      <c r="J316" s="2"/>
    </row>
    <row r="317" spans="1:10" x14ac:dyDescent="0.2">
      <c r="A317" s="2"/>
      <c r="B317" s="2"/>
      <c r="C317" s="2"/>
      <c r="D317" s="2"/>
      <c r="E317" s="2"/>
      <c r="F317" s="2"/>
      <c r="G317" s="2"/>
      <c r="H317" s="2"/>
      <c r="I317" s="2"/>
      <c r="J317" s="2"/>
    </row>
    <row r="318" spans="1:10" x14ac:dyDescent="0.2">
      <c r="A318" s="2"/>
      <c r="B318" s="2"/>
      <c r="C318" s="2"/>
      <c r="D318" s="2"/>
      <c r="E318" s="2"/>
      <c r="F318" s="2"/>
      <c r="G318" s="2"/>
      <c r="H318" s="2"/>
      <c r="I318" s="2"/>
      <c r="J318" s="2"/>
    </row>
    <row r="319" spans="1:10" x14ac:dyDescent="0.2">
      <c r="A319" s="2"/>
      <c r="B319" s="2"/>
      <c r="C319" s="2"/>
      <c r="D319" s="2"/>
      <c r="E319" s="2"/>
      <c r="F319" s="2"/>
      <c r="G319" s="2"/>
      <c r="H319" s="2"/>
      <c r="I319" s="2"/>
      <c r="J319" s="2"/>
    </row>
    <row r="320" spans="1:10" x14ac:dyDescent="0.2">
      <c r="A320" s="2"/>
      <c r="B320" s="2"/>
      <c r="C320" s="2"/>
      <c r="D320" s="2"/>
      <c r="E320" s="2"/>
      <c r="F320" s="2"/>
      <c r="G320" s="2"/>
      <c r="H320" s="2"/>
      <c r="I320" s="2"/>
      <c r="J320" s="2"/>
    </row>
    <row r="321" spans="1:10" x14ac:dyDescent="0.2">
      <c r="A321" s="2"/>
      <c r="B321" s="2"/>
      <c r="C321" s="2"/>
      <c r="D321" s="2"/>
      <c r="E321" s="2"/>
      <c r="F321" s="2"/>
      <c r="G321" s="2"/>
      <c r="H321" s="2"/>
      <c r="I321" s="2"/>
      <c r="J321" s="2"/>
    </row>
    <row r="322" spans="1:10" x14ac:dyDescent="0.2">
      <c r="A322" s="2"/>
      <c r="B322" s="2"/>
      <c r="C322" s="2"/>
      <c r="D322" s="2"/>
      <c r="E322" s="2"/>
      <c r="F322" s="2"/>
      <c r="G322" s="2"/>
      <c r="H322" s="2"/>
      <c r="I322" s="2"/>
      <c r="J322" s="2"/>
    </row>
    <row r="323" spans="1:10" x14ac:dyDescent="0.2">
      <c r="A323" s="2"/>
      <c r="B323" s="2"/>
      <c r="C323" s="2"/>
      <c r="D323" s="2"/>
      <c r="E323" s="2"/>
      <c r="F323" s="2"/>
      <c r="G323" s="2"/>
      <c r="H323" s="2"/>
      <c r="I323" s="2"/>
      <c r="J323" s="2"/>
    </row>
    <row r="324" spans="1:10" x14ac:dyDescent="0.2">
      <c r="A324" s="2"/>
      <c r="B324" s="2"/>
      <c r="C324" s="2"/>
      <c r="D324" s="2"/>
      <c r="E324" s="2"/>
      <c r="F324" s="2"/>
      <c r="G324" s="2"/>
      <c r="H324" s="2"/>
      <c r="I324" s="2"/>
      <c r="J324" s="2"/>
    </row>
    <row r="325" spans="1:10" x14ac:dyDescent="0.2">
      <c r="A325" s="2"/>
      <c r="B325" s="2"/>
      <c r="C325" s="2"/>
      <c r="D325" s="2"/>
      <c r="E325" s="2"/>
      <c r="F325" s="2"/>
      <c r="G325" s="2"/>
      <c r="H325" s="2"/>
      <c r="I325" s="2"/>
      <c r="J325" s="2"/>
    </row>
    <row r="326" spans="1:10" x14ac:dyDescent="0.2">
      <c r="A326" s="2"/>
      <c r="B326" s="2"/>
      <c r="C326" s="2"/>
      <c r="D326" s="2"/>
      <c r="E326" s="2"/>
      <c r="F326" s="2"/>
      <c r="G326" s="2"/>
      <c r="H326" s="2"/>
      <c r="I326" s="2"/>
      <c r="J326" s="2"/>
    </row>
    <row r="327" spans="1:10" x14ac:dyDescent="0.2">
      <c r="A327" s="2"/>
      <c r="B327" s="2"/>
      <c r="C327" s="2"/>
      <c r="D327" s="2"/>
      <c r="E327" s="2"/>
      <c r="F327" s="2"/>
      <c r="G327" s="2"/>
      <c r="H327" s="2"/>
      <c r="I327" s="2"/>
      <c r="J327" s="2"/>
    </row>
    <row r="328" spans="1:10" x14ac:dyDescent="0.2">
      <c r="A328" s="2"/>
      <c r="B328" s="2"/>
      <c r="C328" s="2"/>
      <c r="D328" s="2"/>
      <c r="E328" s="2"/>
      <c r="F328" s="2"/>
      <c r="G328" s="2"/>
      <c r="H328" s="2"/>
      <c r="I328" s="2"/>
      <c r="J328" s="2"/>
    </row>
    <row r="329" spans="1:10" x14ac:dyDescent="0.2">
      <c r="A329" s="2"/>
      <c r="B329" s="2"/>
      <c r="C329" s="2"/>
      <c r="D329" s="2"/>
      <c r="E329" s="2"/>
      <c r="F329" s="2"/>
      <c r="G329" s="2"/>
      <c r="H329" s="2"/>
      <c r="I329" s="2"/>
      <c r="J329" s="2"/>
    </row>
    <row r="330" spans="1:10" x14ac:dyDescent="0.2">
      <c r="A330" s="2"/>
      <c r="B330" s="2"/>
      <c r="C330" s="2"/>
      <c r="D330" s="2"/>
      <c r="E330" s="2"/>
      <c r="F330" s="2"/>
      <c r="G330" s="2"/>
      <c r="H330" s="2"/>
      <c r="I330" s="2"/>
      <c r="J330" s="2"/>
    </row>
    <row r="331" spans="1:10" x14ac:dyDescent="0.2">
      <c r="A331" s="2"/>
      <c r="B331" s="2"/>
      <c r="C331" s="2"/>
      <c r="D331" s="2"/>
      <c r="E331" s="2"/>
      <c r="F331" s="2"/>
      <c r="G331" s="2"/>
      <c r="H331" s="2"/>
      <c r="I331" s="2"/>
      <c r="J331" s="2"/>
    </row>
    <row r="332" spans="1:10" x14ac:dyDescent="0.2">
      <c r="A332" s="2"/>
      <c r="B332" s="2"/>
      <c r="C332" s="2"/>
      <c r="D332" s="2"/>
      <c r="E332" s="2"/>
      <c r="F332" s="2"/>
      <c r="G332" s="2"/>
      <c r="H332" s="2"/>
      <c r="I332" s="2"/>
      <c r="J332" s="2"/>
    </row>
    <row r="333" spans="1:10" x14ac:dyDescent="0.2">
      <c r="A333" s="2"/>
      <c r="B333" s="2"/>
      <c r="C333" s="2"/>
      <c r="D333" s="2"/>
      <c r="E333" s="2"/>
      <c r="F333" s="2"/>
      <c r="G333" s="2"/>
      <c r="H333" s="2"/>
      <c r="I333" s="2"/>
      <c r="J333" s="2"/>
    </row>
    <row r="334" spans="1:10" x14ac:dyDescent="0.2">
      <c r="A334" s="2"/>
      <c r="B334" s="2"/>
      <c r="C334" s="2"/>
      <c r="D334" s="2"/>
      <c r="E334" s="2"/>
      <c r="F334" s="2"/>
      <c r="G334" s="2"/>
      <c r="H334" s="2"/>
      <c r="I334" s="2"/>
      <c r="J334" s="2"/>
    </row>
    <row r="335" spans="1:10" x14ac:dyDescent="0.2">
      <c r="A335" s="2"/>
      <c r="B335" s="2"/>
      <c r="C335" s="2"/>
      <c r="D335" s="2"/>
      <c r="E335" s="2"/>
      <c r="F335" s="2"/>
      <c r="G335" s="2"/>
      <c r="H335" s="2"/>
      <c r="I335" s="2"/>
      <c r="J335" s="2"/>
    </row>
    <row r="336" spans="1:10" x14ac:dyDescent="0.2">
      <c r="A336" s="2"/>
      <c r="B336" s="2"/>
      <c r="C336" s="2"/>
      <c r="D336" s="2"/>
      <c r="E336" s="2"/>
      <c r="F336" s="2"/>
      <c r="G336" s="2"/>
      <c r="H336" s="2"/>
      <c r="I336" s="2"/>
      <c r="J336" s="2"/>
    </row>
    <row r="337" spans="1:10" x14ac:dyDescent="0.2">
      <c r="A337" s="2"/>
      <c r="B337" s="2"/>
      <c r="C337" s="2"/>
      <c r="D337" s="2"/>
      <c r="E337" s="2"/>
      <c r="F337" s="2"/>
      <c r="G337" s="2"/>
      <c r="H337" s="2"/>
      <c r="I337" s="2"/>
      <c r="J337" s="2"/>
    </row>
    <row r="338" spans="1:10" x14ac:dyDescent="0.2">
      <c r="A338" s="2"/>
      <c r="B338" s="2"/>
      <c r="C338" s="2"/>
      <c r="D338" s="2"/>
      <c r="E338" s="2"/>
      <c r="F338" s="2"/>
      <c r="G338" s="2"/>
      <c r="H338" s="2"/>
      <c r="I338" s="2"/>
      <c r="J338" s="2"/>
    </row>
    <row r="339" spans="1:10" x14ac:dyDescent="0.2">
      <c r="A339" s="2"/>
      <c r="B339" s="2"/>
      <c r="C339" s="2"/>
      <c r="D339" s="2"/>
      <c r="E339" s="2"/>
      <c r="F339" s="2"/>
      <c r="G339" s="2"/>
      <c r="H339" s="2"/>
      <c r="I339" s="2"/>
      <c r="J339" s="2"/>
    </row>
    <row r="340" spans="1:10" x14ac:dyDescent="0.2">
      <c r="A340" s="2"/>
      <c r="B340" s="2"/>
      <c r="C340" s="2"/>
      <c r="D340" s="2"/>
      <c r="E340" s="2"/>
      <c r="F340" s="2"/>
      <c r="G340" s="2"/>
      <c r="H340" s="2"/>
      <c r="I340" s="2"/>
      <c r="J340" s="2"/>
    </row>
    <row r="341" spans="1:10" x14ac:dyDescent="0.2">
      <c r="A341" s="2"/>
      <c r="B341" s="2"/>
      <c r="C341" s="2"/>
      <c r="D341" s="2"/>
      <c r="E341" s="2"/>
      <c r="F341" s="2"/>
      <c r="G341" s="2"/>
      <c r="H341" s="2"/>
      <c r="I341" s="2"/>
      <c r="J341" s="2"/>
    </row>
    <row r="342" spans="1:10" x14ac:dyDescent="0.2">
      <c r="A342" s="2"/>
      <c r="B342" s="2"/>
      <c r="C342" s="2"/>
      <c r="D342" s="2"/>
      <c r="E342" s="2"/>
      <c r="F342" s="2"/>
      <c r="G342" s="2"/>
      <c r="H342" s="2"/>
      <c r="I342" s="2"/>
      <c r="J342" s="2"/>
    </row>
    <row r="343" spans="1:10" x14ac:dyDescent="0.2">
      <c r="A343" s="2"/>
      <c r="B343" s="2"/>
      <c r="C343" s="2"/>
      <c r="D343" s="2"/>
      <c r="E343" s="2"/>
      <c r="F343" s="2"/>
      <c r="G343" s="2"/>
      <c r="H343" s="2"/>
      <c r="I343" s="2"/>
      <c r="J343" s="2"/>
    </row>
    <row r="344" spans="1:10" x14ac:dyDescent="0.2">
      <c r="A344" s="2"/>
      <c r="B344" s="2"/>
      <c r="C344" s="2"/>
      <c r="D344" s="2"/>
      <c r="E344" s="2"/>
      <c r="F344" s="2"/>
      <c r="G344" s="2"/>
      <c r="H344" s="2"/>
      <c r="I344" s="2"/>
      <c r="J344" s="2"/>
    </row>
    <row r="345" spans="1:10" x14ac:dyDescent="0.2">
      <c r="A345" s="2"/>
      <c r="B345" s="2"/>
      <c r="C345" s="2"/>
      <c r="D345" s="2"/>
      <c r="E345" s="2"/>
      <c r="F345" s="2"/>
      <c r="G345" s="2"/>
      <c r="H345" s="2"/>
      <c r="I345" s="2"/>
      <c r="J345" s="2"/>
    </row>
    <row r="346" spans="1:10" x14ac:dyDescent="0.2">
      <c r="A346" s="2"/>
      <c r="B346" s="2"/>
      <c r="C346" s="2"/>
      <c r="D346" s="2"/>
      <c r="E346" s="2"/>
      <c r="F346" s="2"/>
      <c r="G346" s="2"/>
      <c r="H346" s="2"/>
      <c r="I346" s="2"/>
      <c r="J346" s="2"/>
    </row>
    <row r="347" spans="1:10" x14ac:dyDescent="0.2">
      <c r="A347" s="2"/>
      <c r="B347" s="2"/>
      <c r="C347" s="2"/>
      <c r="D347" s="2"/>
      <c r="E347" s="2"/>
      <c r="F347" s="2"/>
      <c r="G347" s="2"/>
      <c r="H347" s="2"/>
      <c r="I347" s="2"/>
      <c r="J347" s="2"/>
    </row>
    <row r="348" spans="1:10" x14ac:dyDescent="0.2">
      <c r="A348" s="2"/>
      <c r="B348" s="2"/>
      <c r="C348" s="2"/>
      <c r="D348" s="2"/>
      <c r="E348" s="2"/>
      <c r="F348" s="2"/>
      <c r="G348" s="2"/>
      <c r="H348" s="2"/>
      <c r="I348" s="2"/>
      <c r="J348" s="2"/>
    </row>
    <row r="349" spans="1:10" x14ac:dyDescent="0.2">
      <c r="A349" s="2"/>
      <c r="B349" s="2"/>
      <c r="C349" s="2"/>
      <c r="D349" s="2"/>
      <c r="E349" s="2"/>
      <c r="F349" s="2"/>
      <c r="G349" s="2"/>
      <c r="H349" s="2"/>
      <c r="I349" s="2"/>
      <c r="J349" s="2"/>
    </row>
    <row r="350" spans="1:10" x14ac:dyDescent="0.2">
      <c r="A350" s="2"/>
      <c r="B350" s="2"/>
      <c r="C350" s="2"/>
      <c r="D350" s="2"/>
      <c r="E350" s="2"/>
      <c r="F350" s="2"/>
      <c r="G350" s="2"/>
      <c r="H350" s="2"/>
      <c r="I350" s="2"/>
      <c r="J350" s="2"/>
    </row>
    <row r="351" spans="1:10" x14ac:dyDescent="0.2">
      <c r="A351" s="2"/>
      <c r="B351" s="2"/>
      <c r="C351" s="2"/>
      <c r="D351" s="2"/>
      <c r="E351" s="2"/>
      <c r="F351" s="2"/>
      <c r="G351" s="2"/>
      <c r="H351" s="2"/>
      <c r="I351" s="2"/>
      <c r="J351" s="2"/>
    </row>
    <row r="352" spans="1:10" x14ac:dyDescent="0.2">
      <c r="A352" s="2"/>
      <c r="B352" s="2"/>
      <c r="C352" s="2"/>
      <c r="D352" s="2"/>
      <c r="E352" s="2"/>
      <c r="F352" s="2"/>
      <c r="G352" s="2"/>
      <c r="H352" s="2"/>
      <c r="I352" s="2"/>
      <c r="J352" s="2"/>
    </row>
    <row r="353" spans="1:10" x14ac:dyDescent="0.2">
      <c r="A353" s="2"/>
      <c r="B353" s="2"/>
      <c r="C353" s="2"/>
      <c r="D353" s="2"/>
      <c r="E353" s="2"/>
      <c r="F353" s="2"/>
      <c r="G353" s="2"/>
      <c r="H353" s="2"/>
      <c r="I353" s="2"/>
      <c r="J353" s="2"/>
    </row>
    <row r="354" spans="1:10" x14ac:dyDescent="0.2">
      <c r="A354" s="2"/>
      <c r="B354" s="2"/>
      <c r="C354" s="2"/>
      <c r="D354" s="2"/>
      <c r="E354" s="2"/>
      <c r="F354" s="2"/>
      <c r="G354" s="2"/>
      <c r="H354" s="2"/>
      <c r="I354" s="2"/>
      <c r="J354" s="2"/>
    </row>
    <row r="355" spans="1:10" x14ac:dyDescent="0.2">
      <c r="A355" s="2"/>
      <c r="B355" s="2"/>
      <c r="C355" s="2"/>
      <c r="D355" s="2"/>
      <c r="E355" s="2"/>
      <c r="F355" s="2"/>
      <c r="G355" s="2"/>
      <c r="H355" s="2"/>
      <c r="I355" s="2"/>
      <c r="J355" s="2"/>
    </row>
    <row r="356" spans="1:10" x14ac:dyDescent="0.2">
      <c r="A356" s="2"/>
      <c r="B356" s="2"/>
      <c r="C356" s="2"/>
      <c r="D356" s="2"/>
      <c r="E356" s="2"/>
      <c r="F356" s="2"/>
      <c r="G356" s="2"/>
      <c r="H356" s="2"/>
      <c r="I356" s="2"/>
      <c r="J356" s="2"/>
    </row>
    <row r="357" spans="1:10" x14ac:dyDescent="0.2">
      <c r="A357" s="2"/>
      <c r="B357" s="2"/>
      <c r="C357" s="2"/>
      <c r="D357" s="2"/>
      <c r="E357" s="2"/>
      <c r="F357" s="2"/>
      <c r="G357" s="2"/>
      <c r="H357" s="2"/>
      <c r="I357" s="2"/>
      <c r="J357" s="2"/>
    </row>
    <row r="358" spans="1:10" x14ac:dyDescent="0.2">
      <c r="A358" s="2"/>
      <c r="B358" s="2"/>
      <c r="C358" s="2"/>
      <c r="D358" s="2"/>
      <c r="E358" s="2"/>
      <c r="F358" s="2"/>
      <c r="G358" s="2"/>
      <c r="H358" s="2"/>
      <c r="I358" s="2"/>
      <c r="J358" s="2"/>
    </row>
    <row r="359" spans="1:10" x14ac:dyDescent="0.2">
      <c r="A359" s="2"/>
      <c r="B359" s="2"/>
      <c r="C359" s="2"/>
      <c r="D359" s="2"/>
      <c r="E359" s="2"/>
      <c r="F359" s="2"/>
      <c r="G359" s="2"/>
      <c r="H359" s="2"/>
      <c r="I359" s="2"/>
      <c r="J359" s="2"/>
    </row>
    <row r="360" spans="1:10" x14ac:dyDescent="0.2">
      <c r="A360" s="2"/>
      <c r="B360" s="2"/>
      <c r="C360" s="2"/>
      <c r="D360" s="2"/>
      <c r="E360" s="2"/>
      <c r="F360" s="2"/>
      <c r="G360" s="2"/>
      <c r="H360" s="2"/>
      <c r="I360" s="2"/>
      <c r="J360" s="2"/>
    </row>
    <row r="361" spans="1:10" x14ac:dyDescent="0.2">
      <c r="A361" s="2"/>
      <c r="B361" s="2"/>
      <c r="C361" s="2"/>
      <c r="D361" s="2"/>
      <c r="E361" s="2"/>
      <c r="F361" s="2"/>
      <c r="G361" s="2"/>
      <c r="H361" s="2"/>
      <c r="I361" s="2"/>
      <c r="J361" s="2"/>
    </row>
    <row r="362" spans="1:10" x14ac:dyDescent="0.2">
      <c r="A362" s="2"/>
      <c r="B362" s="2"/>
      <c r="C362" s="2"/>
      <c r="D362" s="2"/>
      <c r="E362" s="2"/>
      <c r="F362" s="2"/>
      <c r="G362" s="2"/>
      <c r="H362" s="2"/>
      <c r="I362" s="2"/>
      <c r="J362" s="2"/>
    </row>
    <row r="363" spans="1:10" x14ac:dyDescent="0.2">
      <c r="A363" s="2"/>
      <c r="B363" s="2"/>
      <c r="C363" s="2"/>
      <c r="D363" s="2"/>
      <c r="E363" s="2"/>
      <c r="F363" s="2"/>
      <c r="G363" s="2"/>
      <c r="H363" s="2"/>
      <c r="I363" s="2"/>
      <c r="J363" s="2"/>
    </row>
    <row r="364" spans="1:10" x14ac:dyDescent="0.2">
      <c r="A364" s="2"/>
      <c r="B364" s="2"/>
      <c r="C364" s="2"/>
      <c r="D364" s="2"/>
      <c r="E364" s="2"/>
      <c r="F364" s="2"/>
      <c r="G364" s="2"/>
      <c r="H364" s="2"/>
      <c r="I364" s="2"/>
      <c r="J364" s="2"/>
    </row>
    <row r="365" spans="1:10" x14ac:dyDescent="0.2">
      <c r="A365" s="2"/>
      <c r="B365" s="2"/>
      <c r="C365" s="2"/>
      <c r="D365" s="2"/>
      <c r="E365" s="2"/>
      <c r="F365" s="2"/>
      <c r="G365" s="2"/>
      <c r="H365" s="2"/>
      <c r="I365" s="2"/>
      <c r="J365" s="2"/>
    </row>
    <row r="366" spans="1:10" x14ac:dyDescent="0.2">
      <c r="A366" s="2"/>
      <c r="B366" s="2"/>
      <c r="C366" s="2"/>
      <c r="D366" s="2"/>
      <c r="E366" s="2"/>
      <c r="F366" s="2"/>
      <c r="G366" s="2"/>
      <c r="H366" s="2"/>
      <c r="I366" s="2"/>
      <c r="J366" s="2"/>
    </row>
    <row r="367" spans="1:10" x14ac:dyDescent="0.2">
      <c r="A367" s="2"/>
      <c r="B367" s="2"/>
      <c r="C367" s="2"/>
      <c r="D367" s="2"/>
      <c r="E367" s="2"/>
      <c r="F367" s="2"/>
      <c r="G367" s="2"/>
      <c r="H367" s="2"/>
      <c r="I367" s="2"/>
      <c r="J367" s="2"/>
    </row>
    <row r="368" spans="1:10" x14ac:dyDescent="0.2">
      <c r="A368" s="2"/>
      <c r="B368" s="2"/>
      <c r="C368" s="2"/>
      <c r="D368" s="2"/>
      <c r="E368" s="2"/>
      <c r="F368" s="2"/>
      <c r="G368" s="2"/>
      <c r="H368" s="2"/>
      <c r="I368" s="2"/>
      <c r="J368" s="2"/>
    </row>
    <row r="369" spans="1:10" x14ac:dyDescent="0.2">
      <c r="A369" s="2"/>
      <c r="B369" s="2"/>
      <c r="C369" s="2"/>
      <c r="D369" s="2"/>
      <c r="E369" s="2"/>
      <c r="F369" s="2"/>
      <c r="G369" s="2"/>
      <c r="H369" s="2"/>
      <c r="I369" s="2"/>
      <c r="J369" s="2"/>
    </row>
    <row r="370" spans="1:10" x14ac:dyDescent="0.2">
      <c r="A370" s="2"/>
      <c r="B370" s="2"/>
      <c r="C370" s="2"/>
      <c r="D370" s="2"/>
      <c r="E370" s="2"/>
      <c r="F370" s="2"/>
      <c r="G370" s="2"/>
      <c r="H370" s="2"/>
      <c r="I370" s="2"/>
      <c r="J370" s="2"/>
    </row>
    <row r="371" spans="1:10" x14ac:dyDescent="0.2">
      <c r="A371" s="2"/>
      <c r="B371" s="2"/>
      <c r="C371" s="2"/>
      <c r="D371" s="2"/>
      <c r="E371" s="2"/>
      <c r="F371" s="2"/>
      <c r="G371" s="2"/>
      <c r="H371" s="2"/>
      <c r="I371" s="2"/>
      <c r="J371" s="2"/>
    </row>
    <row r="372" spans="1:10" x14ac:dyDescent="0.2">
      <c r="A372" s="2"/>
      <c r="B372" s="2"/>
      <c r="C372" s="2"/>
      <c r="D372" s="2"/>
      <c r="E372" s="2"/>
      <c r="F372" s="2"/>
      <c r="G372" s="2"/>
      <c r="H372" s="2"/>
      <c r="I372" s="2"/>
      <c r="J372" s="2"/>
    </row>
    <row r="373" spans="1:10" x14ac:dyDescent="0.2">
      <c r="A373" s="2"/>
      <c r="B373" s="2"/>
      <c r="C373" s="2"/>
      <c r="D373" s="2"/>
      <c r="E373" s="2"/>
      <c r="F373" s="2"/>
      <c r="G373" s="2"/>
      <c r="H373" s="2"/>
      <c r="I373" s="2"/>
      <c r="J373" s="2"/>
    </row>
    <row r="374" spans="1:10" x14ac:dyDescent="0.2">
      <c r="A374" s="2"/>
      <c r="B374" s="2"/>
      <c r="C374" s="2"/>
      <c r="D374" s="2"/>
      <c r="E374" s="2"/>
      <c r="F374" s="2"/>
      <c r="G374" s="2"/>
      <c r="H374" s="2"/>
      <c r="I374" s="2"/>
      <c r="J374" s="2"/>
    </row>
    <row r="375" spans="1:10" x14ac:dyDescent="0.2">
      <c r="A375" s="2"/>
      <c r="B375" s="2"/>
      <c r="C375" s="2"/>
      <c r="D375" s="2"/>
      <c r="E375" s="2"/>
      <c r="F375" s="2"/>
      <c r="G375" s="2"/>
      <c r="H375" s="2"/>
      <c r="I375" s="2"/>
      <c r="J375" s="2"/>
    </row>
    <row r="376" spans="1:10" x14ac:dyDescent="0.2">
      <c r="A376" s="2"/>
      <c r="B376" s="2"/>
      <c r="C376" s="2"/>
      <c r="D376" s="2"/>
      <c r="E376" s="2"/>
      <c r="F376" s="2"/>
      <c r="G376" s="2"/>
      <c r="H376" s="2"/>
      <c r="I376" s="2"/>
      <c r="J376" s="2"/>
    </row>
    <row r="377" spans="1:10" x14ac:dyDescent="0.2">
      <c r="A377" s="2"/>
      <c r="B377" s="2"/>
      <c r="C377" s="2"/>
      <c r="D377" s="2"/>
      <c r="E377" s="2"/>
      <c r="F377" s="2"/>
      <c r="G377" s="2"/>
      <c r="H377" s="2"/>
      <c r="I377" s="2"/>
      <c r="J377" s="2"/>
    </row>
    <row r="378" spans="1:10" x14ac:dyDescent="0.2">
      <c r="A378" s="2"/>
      <c r="B378" s="2"/>
      <c r="C378" s="2"/>
      <c r="D378" s="2"/>
      <c r="E378" s="2"/>
      <c r="F378" s="2"/>
      <c r="G378" s="2"/>
      <c r="H378" s="2"/>
      <c r="I378" s="2"/>
      <c r="J378" s="2"/>
    </row>
    <row r="379" spans="1:10" x14ac:dyDescent="0.2">
      <c r="A379" s="2"/>
      <c r="B379" s="2"/>
      <c r="C379" s="2"/>
      <c r="D379" s="2"/>
      <c r="E379" s="2"/>
      <c r="F379" s="2"/>
      <c r="G379" s="2"/>
      <c r="H379" s="2"/>
      <c r="I379" s="2"/>
      <c r="J379" s="2"/>
    </row>
    <row r="380" spans="1:10" x14ac:dyDescent="0.2">
      <c r="A380" s="2"/>
      <c r="B380" s="2"/>
      <c r="C380" s="2"/>
      <c r="D380" s="2"/>
      <c r="E380" s="2"/>
      <c r="F380" s="2"/>
      <c r="G380" s="2"/>
      <c r="H380" s="2"/>
      <c r="I380" s="2"/>
      <c r="J380" s="2"/>
    </row>
    <row r="381" spans="1:10" x14ac:dyDescent="0.2">
      <c r="A381" s="2"/>
      <c r="B381" s="2"/>
      <c r="C381" s="2"/>
      <c r="D381" s="2"/>
      <c r="E381" s="2"/>
      <c r="F381" s="2"/>
      <c r="G381" s="2"/>
      <c r="H381" s="2"/>
      <c r="I381" s="2"/>
      <c r="J381" s="2"/>
    </row>
    <row r="382" spans="1:10" x14ac:dyDescent="0.2">
      <c r="A382" s="2"/>
      <c r="B382" s="2"/>
      <c r="C382" s="2"/>
      <c r="D382" s="2"/>
      <c r="E382" s="2"/>
      <c r="F382" s="2"/>
      <c r="G382" s="2"/>
      <c r="H382" s="2"/>
      <c r="I382" s="2"/>
      <c r="J382" s="2"/>
    </row>
    <row r="383" spans="1:10" x14ac:dyDescent="0.2">
      <c r="A383" s="2"/>
      <c r="B383" s="2"/>
      <c r="C383" s="2"/>
      <c r="D383" s="2"/>
      <c r="E383" s="2"/>
      <c r="F383" s="2"/>
      <c r="G383" s="2"/>
      <c r="H383" s="2"/>
      <c r="I383" s="2"/>
      <c r="J383" s="2"/>
    </row>
    <row r="384" spans="1:10" x14ac:dyDescent="0.2">
      <c r="A384" s="2"/>
      <c r="B384" s="2"/>
      <c r="C384" s="2"/>
      <c r="D384" s="2"/>
      <c r="E384" s="2"/>
      <c r="F384" s="2"/>
      <c r="G384" s="2"/>
      <c r="H384" s="2"/>
      <c r="I384" s="2"/>
      <c r="J384" s="2"/>
    </row>
    <row r="385" spans="1:10" x14ac:dyDescent="0.2">
      <c r="A385" s="2"/>
      <c r="B385" s="2"/>
      <c r="C385" s="2"/>
      <c r="D385" s="2"/>
      <c r="E385" s="2"/>
      <c r="F385" s="2"/>
      <c r="G385" s="2"/>
      <c r="H385" s="2"/>
      <c r="I385" s="2"/>
      <c r="J385" s="2"/>
    </row>
    <row r="386" spans="1:10" x14ac:dyDescent="0.2">
      <c r="A386" s="2"/>
      <c r="B386" s="2"/>
      <c r="C386" s="2"/>
      <c r="D386" s="2"/>
      <c r="E386" s="2"/>
      <c r="F386" s="2"/>
      <c r="G386" s="2"/>
      <c r="H386" s="2"/>
      <c r="I386" s="2"/>
      <c r="J386" s="2"/>
    </row>
    <row r="387" spans="1:10" x14ac:dyDescent="0.2">
      <c r="A387" s="2"/>
      <c r="B387" s="2"/>
      <c r="C387" s="2"/>
      <c r="D387" s="2"/>
      <c r="E387" s="2"/>
      <c r="F387" s="2"/>
      <c r="G387" s="2"/>
      <c r="H387" s="2"/>
      <c r="I387" s="2"/>
      <c r="J387" s="2"/>
    </row>
    <row r="388" spans="1:10" x14ac:dyDescent="0.2">
      <c r="A388" s="2"/>
      <c r="B388" s="2"/>
      <c r="C388" s="2"/>
      <c r="D388" s="2"/>
      <c r="E388" s="2"/>
      <c r="F388" s="2"/>
      <c r="G388" s="2"/>
      <c r="H388" s="2"/>
      <c r="I388" s="2"/>
      <c r="J388" s="2"/>
    </row>
    <row r="389" spans="1:10" x14ac:dyDescent="0.2">
      <c r="A389" s="2"/>
      <c r="B389" s="2"/>
      <c r="C389" s="2"/>
      <c r="D389" s="2"/>
      <c r="E389" s="2"/>
      <c r="F389" s="2"/>
      <c r="G389" s="2"/>
      <c r="H389" s="2"/>
      <c r="I389" s="2"/>
      <c r="J389" s="2"/>
    </row>
    <row r="390" spans="1:10" x14ac:dyDescent="0.2">
      <c r="A390" s="2"/>
      <c r="B390" s="2"/>
      <c r="C390" s="2"/>
      <c r="D390" s="2"/>
      <c r="E390" s="2"/>
      <c r="F390" s="2"/>
      <c r="G390" s="2"/>
      <c r="H390" s="2"/>
      <c r="I390" s="2"/>
      <c r="J390" s="2"/>
    </row>
    <row r="391" spans="1:10" x14ac:dyDescent="0.2">
      <c r="A391" s="2"/>
      <c r="B391" s="2"/>
      <c r="C391" s="2"/>
      <c r="D391" s="2"/>
      <c r="E391" s="2"/>
      <c r="F391" s="2"/>
      <c r="G391" s="2"/>
      <c r="H391" s="2"/>
      <c r="I391" s="2"/>
      <c r="J391" s="2"/>
    </row>
    <row r="392" spans="1:10" x14ac:dyDescent="0.2">
      <c r="A392" s="2"/>
      <c r="B392" s="2"/>
      <c r="C392" s="2"/>
      <c r="D392" s="2"/>
      <c r="E392" s="2"/>
      <c r="F392" s="2"/>
      <c r="G392" s="2"/>
      <c r="H392" s="2"/>
      <c r="I392" s="2"/>
      <c r="J392" s="2"/>
    </row>
    <row r="393" spans="1:10" x14ac:dyDescent="0.2">
      <c r="A393" s="2"/>
      <c r="B393" s="2"/>
      <c r="C393" s="2"/>
      <c r="D393" s="2"/>
      <c r="E393" s="2"/>
      <c r="F393" s="2"/>
      <c r="G393" s="2"/>
      <c r="H393" s="2"/>
      <c r="I393" s="2"/>
      <c r="J393" s="2"/>
    </row>
    <row r="394" spans="1:10" x14ac:dyDescent="0.2">
      <c r="A394" s="2"/>
      <c r="B394" s="2"/>
      <c r="C394" s="2"/>
      <c r="D394" s="2"/>
      <c r="E394" s="2"/>
      <c r="F394" s="2"/>
      <c r="G394" s="2"/>
      <c r="H394" s="2"/>
      <c r="I394" s="2"/>
      <c r="J394" s="2"/>
    </row>
    <row r="395" spans="1:10" x14ac:dyDescent="0.2">
      <c r="A395" s="2"/>
      <c r="B395" s="2"/>
      <c r="C395" s="2"/>
      <c r="D395" s="2"/>
      <c r="E395" s="2"/>
      <c r="F395" s="2"/>
      <c r="G395" s="2"/>
      <c r="H395" s="2"/>
      <c r="I395" s="2"/>
      <c r="J395" s="2"/>
    </row>
    <row r="396" spans="1:10" x14ac:dyDescent="0.2">
      <c r="A396" s="2"/>
      <c r="B396" s="2"/>
      <c r="C396" s="2"/>
      <c r="D396" s="2"/>
      <c r="E396" s="2"/>
      <c r="F396" s="2"/>
      <c r="G396" s="2"/>
      <c r="H396" s="2"/>
      <c r="I396" s="2"/>
      <c r="J396" s="2"/>
    </row>
    <row r="397" spans="1:10" x14ac:dyDescent="0.2">
      <c r="A397" s="2"/>
      <c r="B397" s="2"/>
      <c r="C397" s="2"/>
      <c r="D397" s="2"/>
      <c r="E397" s="2"/>
      <c r="F397" s="2"/>
      <c r="G397" s="2"/>
      <c r="H397" s="2"/>
      <c r="I397" s="2"/>
      <c r="J397" s="2"/>
    </row>
    <row r="398" spans="1:10" x14ac:dyDescent="0.2">
      <c r="A398" s="2"/>
      <c r="B398" s="2"/>
      <c r="C398" s="2"/>
      <c r="D398" s="2"/>
      <c r="E398" s="2"/>
      <c r="F398" s="2"/>
      <c r="G398" s="2"/>
      <c r="H398" s="2"/>
      <c r="I398" s="2"/>
      <c r="J398" s="2"/>
    </row>
    <row r="399" spans="1:10" x14ac:dyDescent="0.2">
      <c r="A399" s="2"/>
      <c r="B399" s="2"/>
      <c r="C399" s="2"/>
      <c r="D399" s="2"/>
      <c r="E399" s="2"/>
      <c r="F399" s="2"/>
      <c r="G399" s="2"/>
      <c r="H399" s="2"/>
      <c r="I399" s="2"/>
      <c r="J399" s="2"/>
    </row>
    <row r="400" spans="1:10" x14ac:dyDescent="0.2">
      <c r="A400" s="2"/>
      <c r="B400" s="2"/>
      <c r="C400" s="2"/>
      <c r="D400" s="2"/>
      <c r="E400" s="2"/>
      <c r="F400" s="2"/>
      <c r="G400" s="2"/>
      <c r="H400" s="2"/>
      <c r="I400" s="2"/>
      <c r="J400" s="2"/>
    </row>
    <row r="401" spans="1:10" x14ac:dyDescent="0.2">
      <c r="A401" s="2"/>
      <c r="B401" s="2"/>
      <c r="C401" s="2"/>
      <c r="D401" s="2"/>
      <c r="E401" s="2"/>
      <c r="F401" s="2"/>
      <c r="G401" s="2"/>
      <c r="H401" s="2"/>
      <c r="I401" s="2"/>
      <c r="J401" s="2"/>
    </row>
    <row r="402" spans="1:10" x14ac:dyDescent="0.2">
      <c r="A402" s="2"/>
      <c r="B402" s="2"/>
      <c r="C402" s="2"/>
      <c r="D402" s="2"/>
      <c r="E402" s="2"/>
      <c r="F402" s="2"/>
      <c r="G402" s="2"/>
      <c r="H402" s="2"/>
      <c r="I402" s="2"/>
      <c r="J402" s="2"/>
    </row>
    <row r="403" spans="1:10" x14ac:dyDescent="0.2">
      <c r="A403" s="2"/>
      <c r="B403" s="2"/>
      <c r="C403" s="2"/>
      <c r="D403" s="2"/>
      <c r="E403" s="2"/>
      <c r="F403" s="2"/>
      <c r="G403" s="2"/>
      <c r="H403" s="2"/>
      <c r="I403" s="2"/>
      <c r="J403" s="2"/>
    </row>
    <row r="404" spans="1:10" x14ac:dyDescent="0.2">
      <c r="A404" s="2"/>
      <c r="B404" s="2"/>
      <c r="C404" s="2"/>
      <c r="D404" s="2"/>
      <c r="E404" s="2"/>
      <c r="F404" s="2"/>
      <c r="G404" s="2"/>
      <c r="H404" s="2"/>
      <c r="I404" s="2"/>
      <c r="J404" s="2"/>
    </row>
    <row r="405" spans="1:10" x14ac:dyDescent="0.2">
      <c r="A405" s="2"/>
      <c r="B405" s="2"/>
      <c r="C405" s="2"/>
      <c r="D405" s="2"/>
      <c r="E405" s="2"/>
      <c r="F405" s="2"/>
      <c r="G405" s="2"/>
      <c r="H405" s="2"/>
      <c r="I405" s="2"/>
      <c r="J405" s="2"/>
    </row>
    <row r="406" spans="1:10" x14ac:dyDescent="0.2">
      <c r="A406" s="2"/>
      <c r="B406" s="2"/>
      <c r="C406" s="2"/>
      <c r="D406" s="2"/>
      <c r="E406" s="2"/>
      <c r="F406" s="2"/>
      <c r="G406" s="2"/>
      <c r="H406" s="2"/>
      <c r="I406" s="2"/>
      <c r="J406" s="2"/>
    </row>
    <row r="407" spans="1:10" x14ac:dyDescent="0.2">
      <c r="A407" s="2"/>
      <c r="B407" s="2"/>
      <c r="C407" s="2"/>
      <c r="D407" s="2"/>
      <c r="E407" s="2"/>
      <c r="F407" s="2"/>
      <c r="G407" s="2"/>
      <c r="H407" s="2"/>
      <c r="I407" s="2"/>
      <c r="J407" s="2"/>
    </row>
    <row r="408" spans="1:10" x14ac:dyDescent="0.2">
      <c r="A408" s="2"/>
      <c r="B408" s="2"/>
      <c r="C408" s="2"/>
      <c r="D408" s="2"/>
      <c r="E408" s="2"/>
      <c r="F408" s="2"/>
      <c r="G408" s="2"/>
      <c r="H408" s="2"/>
      <c r="I408" s="2"/>
      <c r="J408" s="2"/>
    </row>
    <row r="409" spans="1:10" x14ac:dyDescent="0.2">
      <c r="A409" s="2"/>
      <c r="B409" s="2"/>
      <c r="C409" s="2"/>
      <c r="D409" s="2"/>
      <c r="E409" s="2"/>
      <c r="F409" s="2"/>
      <c r="G409" s="2"/>
      <c r="H409" s="2"/>
      <c r="I409" s="2"/>
      <c r="J409" s="2"/>
    </row>
    <row r="410" spans="1:10" x14ac:dyDescent="0.2">
      <c r="A410" s="2"/>
      <c r="B410" s="2"/>
      <c r="C410" s="2"/>
      <c r="D410" s="2"/>
      <c r="E410" s="2"/>
      <c r="F410" s="2"/>
      <c r="G410" s="2"/>
      <c r="H410" s="2"/>
      <c r="I410" s="2"/>
      <c r="J410" s="2"/>
    </row>
    <row r="411" spans="1:10" x14ac:dyDescent="0.2">
      <c r="A411" s="2"/>
      <c r="B411" s="2"/>
      <c r="C411" s="2"/>
      <c r="D411" s="2"/>
      <c r="E411" s="2"/>
      <c r="F411" s="2"/>
      <c r="G411" s="2"/>
      <c r="H411" s="2"/>
      <c r="I411" s="2"/>
      <c r="J411" s="2"/>
    </row>
    <row r="412" spans="1:10" x14ac:dyDescent="0.2">
      <c r="A412" s="2"/>
      <c r="B412" s="2"/>
      <c r="C412" s="2"/>
      <c r="D412" s="2"/>
      <c r="E412" s="2"/>
      <c r="F412" s="2"/>
      <c r="G412" s="2"/>
      <c r="H412" s="2"/>
      <c r="I412" s="2"/>
      <c r="J412" s="2"/>
    </row>
    <row r="413" spans="1:10" x14ac:dyDescent="0.2">
      <c r="A413" s="2"/>
      <c r="B413" s="2"/>
      <c r="C413" s="2"/>
      <c r="D413" s="2"/>
      <c r="E413" s="2"/>
      <c r="F413" s="2"/>
      <c r="G413" s="2"/>
      <c r="H413" s="2"/>
      <c r="I413" s="2"/>
      <c r="J413" s="2"/>
    </row>
    <row r="414" spans="1:10" x14ac:dyDescent="0.2">
      <c r="A414" s="2"/>
      <c r="B414" s="2"/>
      <c r="C414" s="2"/>
      <c r="D414" s="2"/>
      <c r="E414" s="2"/>
      <c r="F414" s="2"/>
      <c r="G414" s="2"/>
      <c r="H414" s="2"/>
      <c r="I414" s="2"/>
      <c r="J414" s="2"/>
    </row>
    <row r="415" spans="1:10" x14ac:dyDescent="0.2">
      <c r="A415" s="2"/>
      <c r="B415" s="2"/>
      <c r="C415" s="2"/>
      <c r="D415" s="2"/>
      <c r="E415" s="2"/>
      <c r="F415" s="2"/>
      <c r="G415" s="2"/>
      <c r="H415" s="2"/>
      <c r="I415" s="2"/>
      <c r="J415" s="2"/>
    </row>
    <row r="416" spans="1:10" x14ac:dyDescent="0.2">
      <c r="A416" s="2"/>
      <c r="B416" s="2"/>
      <c r="C416" s="2"/>
      <c r="D416" s="2"/>
      <c r="E416" s="2"/>
      <c r="F416" s="2"/>
      <c r="G416" s="2"/>
      <c r="H416" s="2"/>
      <c r="I416" s="2"/>
      <c r="J416" s="2"/>
    </row>
    <row r="417" spans="1:10" x14ac:dyDescent="0.2">
      <c r="A417" s="2"/>
      <c r="B417" s="2"/>
      <c r="C417" s="2"/>
      <c r="D417" s="2"/>
      <c r="E417" s="2"/>
      <c r="F417" s="2"/>
      <c r="G417" s="2"/>
      <c r="H417" s="2"/>
      <c r="I417" s="2"/>
      <c r="J417" s="2"/>
    </row>
    <row r="418" spans="1:10" x14ac:dyDescent="0.2">
      <c r="A418" s="2"/>
      <c r="B418" s="2"/>
      <c r="C418" s="2"/>
      <c r="D418" s="2"/>
      <c r="E418" s="2"/>
      <c r="F418" s="2"/>
      <c r="G418" s="2"/>
      <c r="H418" s="2"/>
      <c r="I418" s="2"/>
      <c r="J418" s="2"/>
    </row>
    <row r="419" spans="1:10" x14ac:dyDescent="0.2">
      <c r="A419" s="2"/>
      <c r="B419" s="2"/>
      <c r="C419" s="2"/>
      <c r="D419" s="2"/>
      <c r="E419" s="2"/>
      <c r="F419" s="2"/>
      <c r="G419" s="2"/>
      <c r="H419" s="2"/>
      <c r="I419" s="2"/>
      <c r="J419" s="2"/>
    </row>
    <row r="420" spans="1:10" x14ac:dyDescent="0.2">
      <c r="A420" s="2"/>
      <c r="B420" s="2"/>
      <c r="C420" s="2"/>
      <c r="D420" s="2"/>
      <c r="E420" s="2"/>
      <c r="F420" s="2"/>
      <c r="G420" s="2"/>
      <c r="H420" s="2"/>
      <c r="I420" s="2"/>
      <c r="J420" s="2"/>
    </row>
    <row r="421" spans="1:10" x14ac:dyDescent="0.2">
      <c r="A421" s="2"/>
      <c r="B421" s="2"/>
      <c r="C421" s="2"/>
      <c r="D421" s="2"/>
      <c r="E421" s="2"/>
      <c r="F421" s="2"/>
      <c r="G421" s="2"/>
      <c r="H421" s="2"/>
      <c r="I421" s="2"/>
      <c r="J421" s="2"/>
    </row>
    <row r="422" spans="1:10" x14ac:dyDescent="0.2">
      <c r="A422" s="2"/>
      <c r="B422" s="2"/>
      <c r="C422" s="2"/>
      <c r="D422" s="2"/>
      <c r="E422" s="2"/>
      <c r="F422" s="2"/>
      <c r="G422" s="2"/>
      <c r="H422" s="2"/>
      <c r="I422" s="2"/>
      <c r="J422" s="2"/>
    </row>
    <row r="423" spans="1:10" x14ac:dyDescent="0.2">
      <c r="A423" s="2"/>
      <c r="B423" s="2"/>
      <c r="C423" s="2"/>
      <c r="D423" s="2"/>
      <c r="E423" s="2"/>
      <c r="F423" s="2"/>
      <c r="G423" s="2"/>
      <c r="H423" s="2"/>
      <c r="I423" s="2"/>
      <c r="J423" s="2"/>
    </row>
    <row r="424" spans="1:10" x14ac:dyDescent="0.2">
      <c r="A424" s="2"/>
      <c r="B424" s="2"/>
      <c r="C424" s="2"/>
      <c r="D424" s="2"/>
      <c r="E424" s="2"/>
      <c r="F424" s="2"/>
      <c r="G424" s="2"/>
      <c r="H424" s="2"/>
      <c r="I424" s="2"/>
      <c r="J424" s="2"/>
    </row>
    <row r="425" spans="1:10" x14ac:dyDescent="0.2">
      <c r="A425" s="2"/>
      <c r="B425" s="2"/>
      <c r="C425" s="2"/>
      <c r="D425" s="2"/>
      <c r="E425" s="2"/>
      <c r="F425" s="2"/>
      <c r="G425" s="2"/>
      <c r="H425" s="2"/>
      <c r="I425" s="2"/>
      <c r="J425" s="2"/>
    </row>
    <row r="426" spans="1:10" x14ac:dyDescent="0.2">
      <c r="A426" s="2"/>
      <c r="B426" s="2"/>
      <c r="C426" s="2"/>
      <c r="D426" s="2"/>
      <c r="E426" s="2"/>
      <c r="F426" s="2"/>
      <c r="G426" s="2"/>
      <c r="H426" s="2"/>
      <c r="I426" s="2"/>
      <c r="J426" s="2"/>
    </row>
    <row r="427" spans="1:10" x14ac:dyDescent="0.2">
      <c r="A427" s="2"/>
      <c r="B427" s="2"/>
      <c r="C427" s="2"/>
      <c r="D427" s="2"/>
      <c r="E427" s="2"/>
      <c r="F427" s="2"/>
      <c r="G427" s="2"/>
      <c r="H427" s="2"/>
      <c r="I427" s="2"/>
      <c r="J427" s="2"/>
    </row>
    <row r="428" spans="1:10" x14ac:dyDescent="0.2">
      <c r="A428" s="2"/>
      <c r="B428" s="2"/>
      <c r="C428" s="2"/>
      <c r="D428" s="2"/>
      <c r="E428" s="2"/>
      <c r="F428" s="2"/>
      <c r="G428" s="2"/>
      <c r="H428" s="2"/>
      <c r="I428" s="2"/>
      <c r="J428" s="2"/>
    </row>
    <row r="429" spans="1:10" x14ac:dyDescent="0.2">
      <c r="A429" s="2"/>
      <c r="B429" s="2"/>
      <c r="C429" s="2"/>
      <c r="D429" s="2"/>
      <c r="E429" s="2"/>
      <c r="F429" s="2"/>
      <c r="G429" s="2"/>
      <c r="H429" s="2"/>
      <c r="I429" s="2"/>
      <c r="J429" s="2"/>
    </row>
    <row r="430" spans="1:10" x14ac:dyDescent="0.2">
      <c r="A430" s="2"/>
      <c r="B430" s="2"/>
      <c r="C430" s="2"/>
      <c r="D430" s="2"/>
      <c r="E430" s="2"/>
      <c r="F430" s="2"/>
      <c r="G430" s="2"/>
      <c r="H430" s="2"/>
      <c r="I430" s="2"/>
      <c r="J430" s="2"/>
    </row>
    <row r="431" spans="1:10" x14ac:dyDescent="0.2">
      <c r="A431" s="2"/>
      <c r="B431" s="2"/>
      <c r="C431" s="2"/>
      <c r="D431" s="2"/>
      <c r="E431" s="2"/>
      <c r="F431" s="2"/>
      <c r="G431" s="2"/>
      <c r="H431" s="2"/>
      <c r="I431" s="2"/>
      <c r="J431" s="2"/>
    </row>
    <row r="432" spans="1:10" x14ac:dyDescent="0.2">
      <c r="A432" s="2"/>
      <c r="B432" s="2"/>
      <c r="C432" s="2"/>
      <c r="D432" s="2"/>
      <c r="E432" s="2"/>
      <c r="F432" s="2"/>
      <c r="G432" s="2"/>
      <c r="H432" s="2"/>
      <c r="I432" s="2"/>
      <c r="J432" s="2"/>
    </row>
    <row r="433" spans="1:10" x14ac:dyDescent="0.2">
      <c r="A433" s="2"/>
      <c r="B433" s="2"/>
      <c r="C433" s="2"/>
      <c r="D433" s="2"/>
      <c r="E433" s="2"/>
      <c r="F433" s="2"/>
      <c r="G433" s="2"/>
      <c r="H433" s="2"/>
      <c r="I433" s="2"/>
      <c r="J433" s="2"/>
    </row>
    <row r="434" spans="1:10" x14ac:dyDescent="0.2">
      <c r="A434" s="2"/>
      <c r="B434" s="2"/>
      <c r="C434" s="2"/>
      <c r="D434" s="2"/>
      <c r="E434" s="2"/>
      <c r="F434" s="2"/>
      <c r="G434" s="2"/>
      <c r="H434" s="2"/>
      <c r="I434" s="2"/>
      <c r="J434" s="2"/>
    </row>
    <row r="435" spans="1:10" x14ac:dyDescent="0.2">
      <c r="A435" s="2"/>
      <c r="B435" s="2"/>
      <c r="C435" s="2"/>
      <c r="D435" s="2"/>
      <c r="E435" s="2"/>
      <c r="F435" s="2"/>
      <c r="G435" s="2"/>
      <c r="H435" s="2"/>
      <c r="I435" s="2"/>
      <c r="J435" s="2"/>
    </row>
    <row r="436" spans="1:10" x14ac:dyDescent="0.2">
      <c r="A436" s="2"/>
      <c r="B436" s="2"/>
      <c r="C436" s="2"/>
      <c r="D436" s="2"/>
      <c r="E436" s="2"/>
      <c r="F436" s="2"/>
      <c r="G436" s="2"/>
      <c r="H436" s="2"/>
      <c r="I436" s="2"/>
      <c r="J436" s="2"/>
    </row>
    <row r="437" spans="1:10" x14ac:dyDescent="0.2">
      <c r="A437" s="2"/>
      <c r="B437" s="2"/>
      <c r="C437" s="2"/>
      <c r="D437" s="2"/>
      <c r="E437" s="2"/>
      <c r="F437" s="2"/>
      <c r="G437" s="2"/>
      <c r="H437" s="2"/>
      <c r="I437" s="2"/>
      <c r="J437" s="2"/>
    </row>
    <row r="438" spans="1:10" x14ac:dyDescent="0.2">
      <c r="A438" s="2"/>
      <c r="B438" s="2"/>
      <c r="C438" s="2"/>
      <c r="D438" s="2"/>
      <c r="E438" s="2"/>
      <c r="F438" s="2"/>
      <c r="G438" s="2"/>
      <c r="H438" s="2"/>
      <c r="I438" s="2"/>
      <c r="J438" s="2"/>
    </row>
    <row r="439" spans="1:10" x14ac:dyDescent="0.2">
      <c r="A439" s="2"/>
      <c r="B439" s="2"/>
      <c r="C439" s="2"/>
      <c r="D439" s="2"/>
      <c r="E439" s="2"/>
      <c r="F439" s="2"/>
      <c r="G439" s="2"/>
      <c r="H439" s="2"/>
      <c r="I439" s="2"/>
      <c r="J439" s="2"/>
    </row>
    <row r="440" spans="1:10" x14ac:dyDescent="0.2">
      <c r="A440" s="2"/>
      <c r="B440" s="2"/>
      <c r="C440" s="2"/>
      <c r="D440" s="2"/>
      <c r="E440" s="2"/>
      <c r="F440" s="2"/>
      <c r="G440" s="2"/>
      <c r="H440" s="2"/>
      <c r="I440" s="2"/>
      <c r="J440" s="2"/>
    </row>
    <row r="441" spans="1:10" x14ac:dyDescent="0.2">
      <c r="A441" s="2"/>
      <c r="B441" s="2"/>
      <c r="C441" s="2"/>
      <c r="D441" s="2"/>
      <c r="E441" s="2"/>
      <c r="F441" s="2"/>
      <c r="G441" s="2"/>
      <c r="H441" s="2"/>
      <c r="I441" s="2"/>
      <c r="J441" s="2"/>
    </row>
    <row r="442" spans="1:10" x14ac:dyDescent="0.2">
      <c r="A442" s="2"/>
      <c r="B442" s="2"/>
      <c r="C442" s="2"/>
      <c r="D442" s="2"/>
      <c r="E442" s="2"/>
      <c r="F442" s="2"/>
      <c r="G442" s="2"/>
      <c r="H442" s="2"/>
      <c r="I442" s="2"/>
      <c r="J442" s="2"/>
    </row>
    <row r="443" spans="1:10" x14ac:dyDescent="0.2">
      <c r="A443" s="2"/>
      <c r="B443" s="2"/>
      <c r="C443" s="2"/>
      <c r="D443" s="2"/>
      <c r="E443" s="2"/>
      <c r="F443" s="2"/>
      <c r="G443" s="2"/>
      <c r="H443" s="2"/>
      <c r="I443" s="2"/>
      <c r="J443" s="2"/>
    </row>
    <row r="444" spans="1:10" x14ac:dyDescent="0.2">
      <c r="A444" s="2"/>
      <c r="B444" s="2"/>
      <c r="C444" s="2"/>
      <c r="D444" s="2"/>
      <c r="E444" s="2"/>
      <c r="F444" s="2"/>
      <c r="G444" s="2"/>
      <c r="H444" s="2"/>
      <c r="I444" s="2"/>
      <c r="J444" s="2"/>
    </row>
    <row r="445" spans="1:10" x14ac:dyDescent="0.2">
      <c r="A445" s="2"/>
      <c r="B445" s="2"/>
      <c r="C445" s="2"/>
      <c r="D445" s="2"/>
      <c r="E445" s="2"/>
      <c r="F445" s="2"/>
      <c r="G445" s="2"/>
      <c r="H445" s="2"/>
      <c r="I445" s="2"/>
      <c r="J445" s="2"/>
    </row>
    <row r="446" spans="1:10" x14ac:dyDescent="0.2">
      <c r="A446" s="2"/>
      <c r="B446" s="2"/>
      <c r="C446" s="2"/>
      <c r="D446" s="2"/>
      <c r="E446" s="2"/>
      <c r="F446" s="2"/>
      <c r="G446" s="2"/>
      <c r="H446" s="2"/>
      <c r="I446" s="2"/>
      <c r="J446" s="2"/>
    </row>
    <row r="447" spans="1:10" x14ac:dyDescent="0.2">
      <c r="A447" s="2"/>
      <c r="B447" s="2"/>
      <c r="C447" s="2"/>
      <c r="D447" s="2"/>
      <c r="E447" s="2"/>
      <c r="F447" s="2"/>
      <c r="G447" s="2"/>
      <c r="H447" s="2"/>
      <c r="I447" s="2"/>
      <c r="J447" s="2"/>
    </row>
    <row r="448" spans="1:10" x14ac:dyDescent="0.2">
      <c r="A448" s="2"/>
      <c r="B448" s="2"/>
      <c r="C448" s="2"/>
      <c r="D448" s="2"/>
      <c r="E448" s="2"/>
      <c r="F448" s="2"/>
      <c r="G448" s="2"/>
      <c r="H448" s="2"/>
      <c r="I448" s="2"/>
      <c r="J448" s="2"/>
    </row>
    <row r="449" spans="1:10" x14ac:dyDescent="0.2">
      <c r="A449" s="2"/>
      <c r="B449" s="2"/>
      <c r="C449" s="2"/>
      <c r="D449" s="2"/>
      <c r="E449" s="2"/>
      <c r="F449" s="2"/>
      <c r="G449" s="2"/>
      <c r="H449" s="2"/>
      <c r="I449" s="2"/>
      <c r="J449" s="2"/>
    </row>
    <row r="450" spans="1:10" x14ac:dyDescent="0.2">
      <c r="A450" s="2"/>
      <c r="B450" s="2"/>
      <c r="C450" s="2"/>
      <c r="D450" s="2"/>
      <c r="E450" s="2"/>
      <c r="F450" s="2"/>
      <c r="G450" s="2"/>
      <c r="H450" s="2"/>
      <c r="I450" s="2"/>
      <c r="J450" s="2"/>
    </row>
    <row r="451" spans="1:10" x14ac:dyDescent="0.2">
      <c r="A451" s="2"/>
      <c r="B451" s="2"/>
      <c r="C451" s="2"/>
      <c r="D451" s="2"/>
      <c r="E451" s="2"/>
      <c r="F451" s="2"/>
      <c r="G451" s="2"/>
      <c r="H451" s="2"/>
      <c r="I451" s="2"/>
      <c r="J451" s="2"/>
    </row>
    <row r="452" spans="1:10" x14ac:dyDescent="0.2">
      <c r="A452" s="2"/>
      <c r="B452" s="2"/>
      <c r="C452" s="2"/>
      <c r="D452" s="2"/>
      <c r="E452" s="2"/>
      <c r="F452" s="2"/>
      <c r="G452" s="2"/>
      <c r="H452" s="2"/>
      <c r="I452" s="2"/>
      <c r="J452" s="2"/>
    </row>
    <row r="453" spans="1:10" x14ac:dyDescent="0.2">
      <c r="A453" s="2"/>
      <c r="B453" s="2"/>
      <c r="C453" s="2"/>
      <c r="D453" s="2"/>
      <c r="E453" s="2"/>
      <c r="F453" s="2"/>
      <c r="G453" s="2"/>
      <c r="H453" s="2"/>
      <c r="I453" s="2"/>
      <c r="J453" s="2"/>
    </row>
    <row r="454" spans="1:10" x14ac:dyDescent="0.2">
      <c r="A454" s="2"/>
      <c r="B454" s="2"/>
      <c r="C454" s="2"/>
      <c r="D454" s="2"/>
      <c r="E454" s="2"/>
      <c r="F454" s="2"/>
      <c r="G454" s="2"/>
      <c r="H454" s="2"/>
      <c r="I454" s="2"/>
      <c r="J454" s="2"/>
    </row>
    <row r="455" spans="1:10" x14ac:dyDescent="0.2">
      <c r="A455" s="2"/>
      <c r="B455" s="2"/>
      <c r="C455" s="2"/>
      <c r="D455" s="2"/>
      <c r="E455" s="2"/>
      <c r="F455" s="2"/>
      <c r="G455" s="2"/>
      <c r="H455" s="2"/>
      <c r="I455" s="2"/>
      <c r="J455" s="2"/>
    </row>
    <row r="456" spans="1:10" x14ac:dyDescent="0.2">
      <c r="A456" s="2"/>
      <c r="B456" s="2"/>
      <c r="C456" s="2"/>
      <c r="D456" s="2"/>
      <c r="E456" s="2"/>
      <c r="F456" s="2"/>
      <c r="G456" s="2"/>
      <c r="H456" s="2"/>
      <c r="I456" s="2"/>
      <c r="J456" s="2"/>
    </row>
    <row r="457" spans="1:10" x14ac:dyDescent="0.2">
      <c r="A457" s="2"/>
      <c r="B457" s="2"/>
      <c r="C457" s="2"/>
      <c r="D457" s="2"/>
      <c r="E457" s="2"/>
      <c r="F457" s="2"/>
      <c r="G457" s="2"/>
      <c r="H457" s="2"/>
      <c r="I457" s="2"/>
      <c r="J457" s="2"/>
    </row>
    <row r="458" spans="1:10" x14ac:dyDescent="0.2">
      <c r="A458" s="2"/>
      <c r="B458" s="2"/>
      <c r="C458" s="2"/>
      <c r="D458" s="2"/>
      <c r="E458" s="2"/>
      <c r="F458" s="2"/>
      <c r="G458" s="2"/>
      <c r="H458" s="2"/>
      <c r="I458" s="2"/>
      <c r="J458" s="2"/>
    </row>
    <row r="459" spans="1:10" x14ac:dyDescent="0.2">
      <c r="A459" s="2"/>
      <c r="B459" s="2"/>
      <c r="C459" s="2"/>
      <c r="D459" s="2"/>
      <c r="E459" s="2"/>
      <c r="F459" s="2"/>
      <c r="G459" s="2"/>
      <c r="H459" s="2"/>
      <c r="I459" s="2"/>
      <c r="J459" s="2"/>
    </row>
    <row r="460" spans="1:10" x14ac:dyDescent="0.2">
      <c r="A460" s="2"/>
      <c r="B460" s="2"/>
      <c r="C460" s="2"/>
      <c r="D460" s="2"/>
      <c r="E460" s="2"/>
      <c r="F460" s="2"/>
      <c r="G460" s="2"/>
      <c r="H460" s="2"/>
      <c r="I460" s="2"/>
      <c r="J460" s="2"/>
    </row>
    <row r="461" spans="1:10" x14ac:dyDescent="0.2">
      <c r="A461" s="2"/>
      <c r="B461" s="2"/>
      <c r="C461" s="2"/>
      <c r="D461" s="2"/>
      <c r="E461" s="2"/>
      <c r="F461" s="2"/>
      <c r="G461" s="2"/>
      <c r="H461" s="2"/>
      <c r="I461" s="2"/>
      <c r="J461" s="2"/>
    </row>
    <row r="462" spans="1:10" x14ac:dyDescent="0.2">
      <c r="A462" s="2"/>
      <c r="B462" s="2"/>
      <c r="C462" s="2"/>
      <c r="D462" s="2"/>
      <c r="E462" s="2"/>
      <c r="F462" s="2"/>
      <c r="G462" s="2"/>
      <c r="H462" s="2"/>
      <c r="I462" s="2"/>
      <c r="J462" s="2"/>
    </row>
    <row r="463" spans="1:10" x14ac:dyDescent="0.2">
      <c r="A463" s="2"/>
      <c r="B463" s="2"/>
      <c r="C463" s="2"/>
      <c r="D463" s="2"/>
      <c r="E463" s="2"/>
      <c r="F463" s="2"/>
      <c r="G463" s="2"/>
      <c r="H463" s="2"/>
      <c r="I463" s="2"/>
      <c r="J463" s="2"/>
    </row>
    <row r="464" spans="1:10" x14ac:dyDescent="0.2">
      <c r="A464" s="2"/>
      <c r="B464" s="2"/>
      <c r="C464" s="2"/>
      <c r="D464" s="2"/>
      <c r="E464" s="2"/>
      <c r="F464" s="2"/>
      <c r="G464" s="2"/>
      <c r="H464" s="2"/>
      <c r="I464" s="2"/>
      <c r="J464" s="2"/>
    </row>
    <row r="465" spans="1:10" x14ac:dyDescent="0.2">
      <c r="A465" s="2"/>
      <c r="B465" s="2"/>
      <c r="C465" s="2"/>
      <c r="D465" s="2"/>
      <c r="E465" s="2"/>
      <c r="F465" s="2"/>
      <c r="G465" s="2"/>
      <c r="H465" s="2"/>
      <c r="I465" s="2"/>
      <c r="J465" s="2"/>
    </row>
    <row r="466" spans="1:10" x14ac:dyDescent="0.2">
      <c r="A466" s="2"/>
      <c r="B466" s="2"/>
      <c r="C466" s="2"/>
      <c r="D466" s="2"/>
      <c r="E466" s="2"/>
      <c r="F466" s="2"/>
      <c r="G466" s="2"/>
      <c r="H466" s="2"/>
      <c r="I466" s="2"/>
      <c r="J466" s="2"/>
    </row>
    <row r="467" spans="1:10" x14ac:dyDescent="0.2">
      <c r="A467" s="2"/>
      <c r="B467" s="2"/>
      <c r="C467" s="2"/>
      <c r="D467" s="2"/>
      <c r="E467" s="2"/>
      <c r="F467" s="2"/>
      <c r="G467" s="2"/>
      <c r="H467" s="2"/>
      <c r="I467" s="2"/>
      <c r="J467" s="2"/>
    </row>
    <row r="468" spans="1:10" x14ac:dyDescent="0.2">
      <c r="A468" s="2"/>
      <c r="B468" s="2"/>
      <c r="C468" s="2"/>
      <c r="D468" s="2"/>
      <c r="E468" s="2"/>
      <c r="F468" s="2"/>
      <c r="G468" s="2"/>
      <c r="H468" s="2"/>
      <c r="I468" s="2"/>
      <c r="J468" s="2"/>
    </row>
    <row r="469" spans="1:10" x14ac:dyDescent="0.2">
      <c r="A469" s="2"/>
      <c r="B469" s="2"/>
      <c r="C469" s="2"/>
      <c r="D469" s="2"/>
      <c r="E469" s="2"/>
      <c r="F469" s="2"/>
      <c r="G469" s="2"/>
      <c r="H469" s="2"/>
      <c r="I469" s="2"/>
      <c r="J469" s="2"/>
    </row>
    <row r="470" spans="1:10" x14ac:dyDescent="0.2">
      <c r="A470" s="2"/>
      <c r="B470" s="2"/>
      <c r="C470" s="2"/>
      <c r="D470" s="2"/>
      <c r="E470" s="2"/>
      <c r="F470" s="2"/>
      <c r="G470" s="2"/>
      <c r="H470" s="2"/>
      <c r="I470" s="2"/>
      <c r="J470" s="2"/>
    </row>
    <row r="471" spans="1:10" x14ac:dyDescent="0.2">
      <c r="A471" s="2"/>
      <c r="B471" s="2"/>
      <c r="C471" s="2"/>
      <c r="D471" s="2"/>
      <c r="E471" s="2"/>
      <c r="F471" s="2"/>
      <c r="G471" s="2"/>
      <c r="H471" s="2"/>
      <c r="I471" s="2"/>
      <c r="J471" s="2"/>
    </row>
    <row r="472" spans="1:10" x14ac:dyDescent="0.2">
      <c r="A472" s="2"/>
      <c r="B472" s="2"/>
      <c r="C472" s="2"/>
      <c r="D472" s="2"/>
      <c r="E472" s="2"/>
      <c r="F472" s="2"/>
      <c r="G472" s="2"/>
      <c r="H472" s="2"/>
      <c r="I472" s="2"/>
      <c r="J472" s="2"/>
    </row>
    <row r="473" spans="1:10" x14ac:dyDescent="0.2">
      <c r="A473" s="2"/>
      <c r="B473" s="2"/>
      <c r="C473" s="2"/>
      <c r="D473" s="2"/>
      <c r="E473" s="2"/>
      <c r="F473" s="2"/>
      <c r="G473" s="2"/>
      <c r="H473" s="2"/>
      <c r="I473" s="2"/>
      <c r="J473" s="2"/>
    </row>
    <row r="474" spans="1:10" x14ac:dyDescent="0.2">
      <c r="A474" s="2"/>
      <c r="B474" s="2"/>
      <c r="C474" s="2"/>
      <c r="D474" s="2"/>
      <c r="E474" s="2"/>
      <c r="F474" s="2"/>
      <c r="G474" s="2"/>
      <c r="H474" s="2"/>
      <c r="I474" s="2"/>
      <c r="J474" s="2"/>
    </row>
    <row r="475" spans="1:10" x14ac:dyDescent="0.2">
      <c r="A475" s="2"/>
      <c r="B475" s="2"/>
      <c r="C475" s="2"/>
      <c r="D475" s="2"/>
      <c r="E475" s="2"/>
      <c r="F475" s="2"/>
      <c r="G475" s="2"/>
      <c r="H475" s="2"/>
      <c r="I475" s="2"/>
      <c r="J475" s="2"/>
    </row>
    <row r="476" spans="1:10" x14ac:dyDescent="0.2">
      <c r="A476" s="2"/>
      <c r="B476" s="2"/>
      <c r="C476" s="2"/>
      <c r="D476" s="2"/>
      <c r="E476" s="2"/>
      <c r="F476" s="2"/>
      <c r="G476" s="2"/>
      <c r="H476" s="2"/>
      <c r="I476" s="2"/>
      <c r="J476" s="2"/>
    </row>
    <row r="477" spans="1:10" x14ac:dyDescent="0.2">
      <c r="A477" s="2"/>
      <c r="B477" s="2"/>
      <c r="C477" s="2"/>
      <c r="D477" s="2"/>
      <c r="E477" s="2"/>
      <c r="F477" s="2"/>
      <c r="G477" s="2"/>
      <c r="H477" s="2"/>
      <c r="I477" s="2"/>
      <c r="J477" s="2"/>
    </row>
    <row r="478" spans="1:10" x14ac:dyDescent="0.2">
      <c r="A478" s="2"/>
      <c r="B478" s="2"/>
      <c r="C478" s="2"/>
      <c r="D478" s="2"/>
      <c r="E478" s="2"/>
      <c r="F478" s="2"/>
      <c r="G478" s="2"/>
      <c r="H478" s="2"/>
      <c r="I478" s="2"/>
      <c r="J478" s="2"/>
    </row>
    <row r="479" spans="1:10" x14ac:dyDescent="0.2">
      <c r="A479" s="2"/>
      <c r="B479" s="2"/>
      <c r="C479" s="2"/>
      <c r="D479" s="2"/>
      <c r="E479" s="2"/>
      <c r="F479" s="2"/>
      <c r="G479" s="2"/>
      <c r="H479" s="2"/>
      <c r="I479" s="2"/>
      <c r="J479" s="2"/>
    </row>
    <row r="480" spans="1:10" x14ac:dyDescent="0.2">
      <c r="A480" s="2"/>
      <c r="B480" s="2"/>
      <c r="C480" s="2"/>
      <c r="D480" s="2"/>
      <c r="E480" s="2"/>
      <c r="F480" s="2"/>
      <c r="G480" s="2"/>
      <c r="H480" s="2"/>
      <c r="I480" s="2"/>
      <c r="J480" s="2"/>
    </row>
    <row r="481" spans="1:10" x14ac:dyDescent="0.2">
      <c r="A481" s="2"/>
      <c r="B481" s="2"/>
      <c r="C481" s="2"/>
      <c r="D481" s="2"/>
      <c r="E481" s="2"/>
      <c r="F481" s="2"/>
      <c r="G481" s="2"/>
      <c r="H481" s="2"/>
      <c r="I481" s="2"/>
      <c r="J481" s="2"/>
    </row>
    <row r="482" spans="1:10" x14ac:dyDescent="0.2">
      <c r="A482" s="2"/>
      <c r="B482" s="2"/>
      <c r="C482" s="2"/>
      <c r="D482" s="2"/>
      <c r="E482" s="2"/>
      <c r="F482" s="2"/>
      <c r="G482" s="2"/>
      <c r="H482" s="2"/>
      <c r="I482" s="2"/>
      <c r="J482" s="2"/>
    </row>
    <row r="483" spans="1:10" x14ac:dyDescent="0.2">
      <c r="A483" s="2"/>
      <c r="B483" s="2"/>
      <c r="C483" s="2"/>
      <c r="D483" s="2"/>
      <c r="E483" s="2"/>
      <c r="F483" s="2"/>
      <c r="G483" s="2"/>
      <c r="H483" s="2"/>
      <c r="I483" s="2"/>
      <c r="J483" s="2"/>
    </row>
    <row r="484" spans="1:10" x14ac:dyDescent="0.2">
      <c r="A484" s="2"/>
      <c r="B484" s="2"/>
      <c r="C484" s="2"/>
      <c r="D484" s="2"/>
      <c r="E484" s="2"/>
      <c r="F484" s="2"/>
      <c r="G484" s="2"/>
      <c r="H484" s="2"/>
      <c r="I484" s="2"/>
      <c r="J484" s="2"/>
    </row>
    <row r="485" spans="1:10" x14ac:dyDescent="0.2">
      <c r="A485" s="2"/>
      <c r="B485" s="2"/>
      <c r="C485" s="2"/>
      <c r="D485" s="2"/>
      <c r="E485" s="2"/>
      <c r="F485" s="2"/>
      <c r="G485" s="2"/>
      <c r="H485" s="2"/>
      <c r="I485" s="2"/>
      <c r="J485" s="2"/>
    </row>
    <row r="486" spans="1:10" x14ac:dyDescent="0.2">
      <c r="A486" s="2"/>
      <c r="B486" s="2"/>
      <c r="C486" s="2"/>
      <c r="D486" s="2"/>
      <c r="E486" s="2"/>
      <c r="F486" s="2"/>
      <c r="G486" s="2"/>
      <c r="H486" s="2"/>
      <c r="I486" s="2"/>
      <c r="J486" s="2"/>
    </row>
    <row r="487" spans="1:10" x14ac:dyDescent="0.2">
      <c r="A487" s="2"/>
      <c r="B487" s="2"/>
      <c r="C487" s="2"/>
      <c r="D487" s="2"/>
      <c r="E487" s="2"/>
      <c r="F487" s="2"/>
      <c r="G487" s="2"/>
      <c r="H487" s="2"/>
      <c r="I487" s="2"/>
      <c r="J487" s="2"/>
    </row>
    <row r="488" spans="1:10" x14ac:dyDescent="0.2">
      <c r="A488" s="2"/>
      <c r="B488" s="2"/>
      <c r="C488" s="2"/>
      <c r="D488" s="2"/>
      <c r="E488" s="2"/>
      <c r="F488" s="2"/>
      <c r="G488" s="2"/>
      <c r="H488" s="2"/>
      <c r="I488" s="2"/>
      <c r="J488" s="2"/>
    </row>
    <row r="489" spans="1:10" x14ac:dyDescent="0.2">
      <c r="A489" s="2"/>
      <c r="B489" s="2"/>
      <c r="C489" s="2"/>
      <c r="D489" s="2"/>
      <c r="E489" s="2"/>
      <c r="F489" s="2"/>
      <c r="G489" s="2"/>
      <c r="H489" s="2"/>
      <c r="I489" s="2"/>
      <c r="J489" s="2"/>
    </row>
    <row r="490" spans="1:10" x14ac:dyDescent="0.2">
      <c r="A490" s="2"/>
      <c r="B490" s="2"/>
      <c r="C490" s="2"/>
      <c r="D490" s="2"/>
      <c r="E490" s="2"/>
      <c r="F490" s="2"/>
      <c r="G490" s="2"/>
      <c r="H490" s="2"/>
      <c r="I490" s="2"/>
      <c r="J490" s="2"/>
    </row>
    <row r="491" spans="1:10" x14ac:dyDescent="0.2">
      <c r="A491" s="2"/>
      <c r="B491" s="2"/>
      <c r="C491" s="2"/>
      <c r="D491" s="2"/>
      <c r="E491" s="2"/>
      <c r="F491" s="2"/>
      <c r="G491" s="2"/>
      <c r="H491" s="2"/>
      <c r="I491" s="2"/>
      <c r="J491" s="2"/>
    </row>
    <row r="492" spans="1:10" x14ac:dyDescent="0.2">
      <c r="A492" s="2"/>
      <c r="B492" s="2"/>
      <c r="C492" s="2"/>
      <c r="D492" s="2"/>
      <c r="E492" s="2"/>
      <c r="F492" s="2"/>
      <c r="G492" s="2"/>
      <c r="H492" s="2"/>
      <c r="I492" s="2"/>
      <c r="J492" s="2"/>
    </row>
    <row r="493" spans="1:10" x14ac:dyDescent="0.2">
      <c r="A493" s="2"/>
      <c r="B493" s="2"/>
      <c r="C493" s="2"/>
      <c r="D493" s="2"/>
      <c r="E493" s="2"/>
      <c r="F493" s="2"/>
      <c r="G493" s="2"/>
      <c r="H493" s="2"/>
      <c r="I493" s="2"/>
      <c r="J493" s="2"/>
    </row>
    <row r="494" spans="1:10" x14ac:dyDescent="0.2">
      <c r="A494" s="2"/>
      <c r="B494" s="2"/>
      <c r="C494" s="2"/>
      <c r="D494" s="2"/>
      <c r="E494" s="2"/>
      <c r="F494" s="2"/>
      <c r="G494" s="2"/>
      <c r="H494" s="2"/>
      <c r="I494" s="2"/>
      <c r="J494" s="2"/>
    </row>
    <row r="495" spans="1:10" x14ac:dyDescent="0.2">
      <c r="A495" s="2"/>
      <c r="B495" s="2"/>
      <c r="C495" s="2"/>
      <c r="D495" s="2"/>
      <c r="E495" s="2"/>
      <c r="F495" s="2"/>
      <c r="G495" s="2"/>
      <c r="H495" s="2"/>
      <c r="I495" s="2"/>
      <c r="J495" s="2"/>
    </row>
    <row r="496" spans="1:10" x14ac:dyDescent="0.2">
      <c r="A496" s="2"/>
      <c r="B496" s="2"/>
      <c r="C496" s="2"/>
      <c r="D496" s="2"/>
      <c r="E496" s="2"/>
      <c r="F496" s="2"/>
      <c r="G496" s="2"/>
      <c r="H496" s="2"/>
      <c r="I496" s="2"/>
      <c r="J496" s="2"/>
    </row>
    <row r="497" spans="1:10" x14ac:dyDescent="0.2">
      <c r="A497" s="2"/>
      <c r="B497" s="2"/>
      <c r="C497" s="2"/>
      <c r="D497" s="2"/>
      <c r="E497" s="2"/>
      <c r="F497" s="2"/>
      <c r="G497" s="2"/>
      <c r="H497" s="2"/>
      <c r="I497" s="2"/>
      <c r="J497" s="2"/>
    </row>
    <row r="498" spans="1:10" x14ac:dyDescent="0.2">
      <c r="A498" s="2"/>
      <c r="B498" s="2"/>
      <c r="C498" s="2"/>
      <c r="D498" s="2"/>
      <c r="E498" s="2"/>
      <c r="F498" s="2"/>
      <c r="G498" s="2"/>
      <c r="H498" s="2"/>
      <c r="I498" s="2"/>
      <c r="J498" s="2"/>
    </row>
    <row r="499" spans="1:10" x14ac:dyDescent="0.2">
      <c r="A499" s="2"/>
      <c r="B499" s="2"/>
      <c r="C499" s="2"/>
      <c r="D499" s="2"/>
      <c r="E499" s="2"/>
      <c r="F499" s="2"/>
      <c r="G499" s="2"/>
      <c r="H499" s="2"/>
      <c r="I499" s="2"/>
      <c r="J499" s="2"/>
    </row>
    <row r="500" spans="1:10" x14ac:dyDescent="0.2">
      <c r="A500" s="2"/>
      <c r="B500" s="2"/>
      <c r="C500" s="2"/>
      <c r="D500" s="2"/>
      <c r="E500" s="2"/>
      <c r="F500" s="2"/>
      <c r="G500" s="2"/>
      <c r="H500" s="2"/>
      <c r="I500" s="2"/>
      <c r="J500" s="2"/>
    </row>
    <row r="501" spans="1:10" x14ac:dyDescent="0.2">
      <c r="A501" s="2"/>
      <c r="B501" s="2"/>
      <c r="C501" s="2"/>
      <c r="D501" s="2"/>
      <c r="E501" s="2"/>
      <c r="F501" s="2"/>
      <c r="G501" s="2"/>
      <c r="H501" s="2"/>
      <c r="I501" s="2"/>
      <c r="J501" s="2"/>
    </row>
    <row r="502" spans="1:10" x14ac:dyDescent="0.2">
      <c r="A502" s="2"/>
      <c r="B502" s="2"/>
      <c r="C502" s="2"/>
      <c r="D502" s="2"/>
      <c r="E502" s="2"/>
      <c r="F502" s="2"/>
      <c r="G502" s="2"/>
      <c r="H502" s="2"/>
      <c r="I502" s="2"/>
      <c r="J502" s="2"/>
    </row>
    <row r="503" spans="1:10" x14ac:dyDescent="0.2">
      <c r="A503" s="2"/>
      <c r="B503" s="2"/>
      <c r="C503" s="2"/>
      <c r="D503" s="2"/>
      <c r="E503" s="2"/>
      <c r="F503" s="2"/>
      <c r="G503" s="2"/>
      <c r="H503" s="2"/>
      <c r="I503" s="2"/>
      <c r="J503" s="2"/>
    </row>
    <row r="504" spans="1:10" x14ac:dyDescent="0.2">
      <c r="A504" s="2"/>
      <c r="B504" s="2"/>
      <c r="C504" s="2"/>
      <c r="D504" s="2"/>
      <c r="E504" s="2"/>
      <c r="F504" s="2"/>
      <c r="G504" s="2"/>
      <c r="H504" s="2"/>
      <c r="I504" s="2"/>
      <c r="J504" s="2"/>
    </row>
    <row r="505" spans="1:10" x14ac:dyDescent="0.2">
      <c r="A505" s="2"/>
      <c r="B505" s="2"/>
      <c r="C505" s="2"/>
      <c r="D505" s="2"/>
      <c r="E505" s="2"/>
      <c r="F505" s="2"/>
      <c r="G505" s="2"/>
      <c r="H505" s="2"/>
      <c r="I505" s="2"/>
      <c r="J505" s="2"/>
    </row>
    <row r="506" spans="1:10" x14ac:dyDescent="0.2">
      <c r="A506" s="2"/>
      <c r="B506" s="2"/>
      <c r="C506" s="2"/>
      <c r="D506" s="2"/>
      <c r="E506" s="2"/>
      <c r="F506" s="2"/>
      <c r="G506" s="2"/>
      <c r="H506" s="2"/>
      <c r="I506" s="2"/>
      <c r="J506" s="2"/>
    </row>
    <row r="507" spans="1:10" x14ac:dyDescent="0.2">
      <c r="A507" s="2"/>
      <c r="B507" s="2"/>
      <c r="C507" s="2"/>
      <c r="D507" s="2"/>
      <c r="E507" s="2"/>
      <c r="F507" s="2"/>
      <c r="G507" s="2"/>
      <c r="H507" s="2"/>
      <c r="I507" s="2"/>
      <c r="J507" s="2"/>
    </row>
    <row r="508" spans="1:10" x14ac:dyDescent="0.2">
      <c r="A508" s="2"/>
      <c r="B508" s="2"/>
      <c r="C508" s="2"/>
      <c r="D508" s="2"/>
      <c r="E508" s="2"/>
      <c r="F508" s="2"/>
      <c r="G508" s="2"/>
      <c r="H508" s="2"/>
      <c r="I508" s="2"/>
      <c r="J508" s="2"/>
    </row>
    <row r="509" spans="1:10" x14ac:dyDescent="0.2">
      <c r="A509" s="2"/>
      <c r="B509" s="2"/>
      <c r="C509" s="2"/>
      <c r="D509" s="2"/>
      <c r="E509" s="2"/>
      <c r="F509" s="2"/>
      <c r="G509" s="2"/>
      <c r="H509" s="2"/>
      <c r="I509" s="2"/>
      <c r="J509" s="2"/>
    </row>
    <row r="510" spans="1:10" x14ac:dyDescent="0.2">
      <c r="A510" s="2"/>
      <c r="B510" s="2"/>
      <c r="C510" s="2"/>
      <c r="D510" s="2"/>
      <c r="E510" s="2"/>
      <c r="F510" s="2"/>
      <c r="G510" s="2"/>
      <c r="H510" s="2"/>
      <c r="I510" s="2"/>
      <c r="J510" s="2"/>
    </row>
    <row r="511" spans="1:10" x14ac:dyDescent="0.2">
      <c r="A511" s="2"/>
      <c r="B511" s="2"/>
      <c r="C511" s="2"/>
      <c r="D511" s="2"/>
      <c r="E511" s="2"/>
      <c r="F511" s="2"/>
      <c r="G511" s="2"/>
      <c r="H511" s="2"/>
      <c r="I511" s="2"/>
      <c r="J511" s="2"/>
    </row>
    <row r="512" spans="1:10" x14ac:dyDescent="0.2">
      <c r="A512" s="2"/>
      <c r="B512" s="2"/>
      <c r="C512" s="2"/>
      <c r="D512" s="2"/>
      <c r="E512" s="2"/>
      <c r="F512" s="2"/>
      <c r="G512" s="2"/>
      <c r="H512" s="2"/>
      <c r="I512" s="2"/>
      <c r="J512" s="2"/>
    </row>
    <row r="513" spans="1:10" x14ac:dyDescent="0.2">
      <c r="A513" s="2"/>
      <c r="B513" s="2"/>
      <c r="C513" s="2"/>
      <c r="D513" s="2"/>
      <c r="E513" s="2"/>
      <c r="F513" s="2"/>
      <c r="G513" s="2"/>
      <c r="H513" s="2"/>
      <c r="I513" s="2"/>
      <c r="J513" s="2"/>
    </row>
    <row r="514" spans="1:10" x14ac:dyDescent="0.2">
      <c r="A514" s="2"/>
      <c r="B514" s="2"/>
      <c r="C514" s="2"/>
      <c r="D514" s="2"/>
      <c r="E514" s="2"/>
      <c r="F514" s="2"/>
      <c r="G514" s="2"/>
      <c r="H514" s="2"/>
      <c r="I514" s="2"/>
      <c r="J514" s="2"/>
    </row>
    <row r="515" spans="1:10" x14ac:dyDescent="0.2">
      <c r="A515" s="2"/>
      <c r="B515" s="2"/>
      <c r="C515" s="2"/>
      <c r="D515" s="2"/>
      <c r="E515" s="2"/>
      <c r="F515" s="2"/>
      <c r="G515" s="2"/>
      <c r="H515" s="2"/>
      <c r="I515" s="2"/>
      <c r="J515" s="2"/>
    </row>
    <row r="516" spans="1:10" x14ac:dyDescent="0.2">
      <c r="A516" s="2"/>
      <c r="B516" s="2"/>
      <c r="C516" s="2"/>
      <c r="D516" s="2"/>
      <c r="E516" s="2"/>
      <c r="F516" s="2"/>
      <c r="G516" s="2"/>
      <c r="H516" s="2"/>
      <c r="I516" s="2"/>
      <c r="J516" s="2"/>
    </row>
    <row r="517" spans="1:10" x14ac:dyDescent="0.2">
      <c r="A517" s="2"/>
      <c r="B517" s="2"/>
      <c r="C517" s="2"/>
      <c r="D517" s="2"/>
      <c r="E517" s="2"/>
      <c r="F517" s="2"/>
      <c r="G517" s="2"/>
      <c r="H517" s="2"/>
      <c r="I517" s="2"/>
      <c r="J517" s="2"/>
    </row>
    <row r="518" spans="1:10" x14ac:dyDescent="0.2">
      <c r="A518" s="2"/>
      <c r="B518" s="2"/>
      <c r="C518" s="2"/>
      <c r="D518" s="2"/>
      <c r="E518" s="2"/>
      <c r="F518" s="2"/>
      <c r="G518" s="2"/>
      <c r="H518" s="2"/>
      <c r="I518" s="2"/>
      <c r="J518" s="2"/>
    </row>
    <row r="519" spans="1:10" x14ac:dyDescent="0.2">
      <c r="A519" s="2"/>
      <c r="B519" s="2"/>
      <c r="C519" s="2"/>
      <c r="D519" s="2"/>
      <c r="E519" s="2"/>
      <c r="F519" s="2"/>
      <c r="G519" s="2"/>
      <c r="H519" s="2"/>
      <c r="I519" s="2"/>
      <c r="J519" s="2"/>
    </row>
    <row r="520" spans="1:10" x14ac:dyDescent="0.2">
      <c r="A520" s="2"/>
      <c r="B520" s="2"/>
      <c r="C520" s="2"/>
      <c r="D520" s="2"/>
      <c r="E520" s="2"/>
      <c r="F520" s="2"/>
      <c r="G520" s="2"/>
      <c r="H520" s="2"/>
      <c r="I520" s="2"/>
      <c r="J520" s="2"/>
    </row>
    <row r="521" spans="1:10" x14ac:dyDescent="0.2">
      <c r="A521" s="2"/>
      <c r="B521" s="2"/>
      <c r="C521" s="2"/>
      <c r="D521" s="2"/>
      <c r="E521" s="2"/>
      <c r="F521" s="2"/>
      <c r="G521" s="2"/>
      <c r="H521" s="2"/>
      <c r="I521" s="2"/>
      <c r="J521" s="2"/>
    </row>
    <row r="522" spans="1:10" x14ac:dyDescent="0.2">
      <c r="A522" s="2"/>
      <c r="B522" s="2"/>
      <c r="C522" s="2"/>
      <c r="D522" s="2"/>
      <c r="E522" s="2"/>
      <c r="F522" s="2"/>
      <c r="G522" s="2"/>
      <c r="H522" s="2"/>
      <c r="I522" s="2"/>
      <c r="J522" s="2"/>
    </row>
    <row r="523" spans="1:10" x14ac:dyDescent="0.2">
      <c r="A523" s="2"/>
      <c r="B523" s="2"/>
      <c r="C523" s="2"/>
      <c r="D523" s="2"/>
      <c r="E523" s="2"/>
      <c r="F523" s="2"/>
      <c r="G523" s="2"/>
      <c r="H523" s="2"/>
      <c r="I523" s="2"/>
      <c r="J523" s="2"/>
    </row>
    <row r="524" spans="1:10" x14ac:dyDescent="0.2">
      <c r="A524" s="2"/>
      <c r="B524" s="2"/>
      <c r="C524" s="2"/>
      <c r="D524" s="2"/>
      <c r="E524" s="2"/>
      <c r="F524" s="2"/>
      <c r="G524" s="2"/>
      <c r="H524" s="2"/>
      <c r="I524" s="2"/>
      <c r="J524" s="2"/>
    </row>
    <row r="525" spans="1:10" x14ac:dyDescent="0.2">
      <c r="A525" s="2"/>
      <c r="B525" s="2"/>
      <c r="C525" s="2"/>
      <c r="D525" s="2"/>
      <c r="E525" s="2"/>
      <c r="F525" s="2"/>
      <c r="G525" s="2"/>
      <c r="H525" s="2"/>
      <c r="I525" s="2"/>
      <c r="J525" s="2"/>
    </row>
    <row r="526" spans="1:10" x14ac:dyDescent="0.2">
      <c r="A526" s="2"/>
      <c r="B526" s="2"/>
      <c r="C526" s="2"/>
      <c r="D526" s="2"/>
      <c r="E526" s="2"/>
      <c r="F526" s="2"/>
      <c r="G526" s="2"/>
      <c r="H526" s="2"/>
      <c r="I526" s="2"/>
      <c r="J526" s="2"/>
    </row>
    <row r="527" spans="1:10" x14ac:dyDescent="0.2">
      <c r="A527" s="2"/>
      <c r="B527" s="2"/>
      <c r="C527" s="2"/>
      <c r="D527" s="2"/>
      <c r="E527" s="2"/>
      <c r="F527" s="2"/>
      <c r="G527" s="2"/>
      <c r="H527" s="2"/>
      <c r="I527" s="2"/>
      <c r="J527" s="2"/>
    </row>
    <row r="528" spans="1:10" x14ac:dyDescent="0.2">
      <c r="A528" s="2"/>
      <c r="B528" s="2"/>
      <c r="C528" s="2"/>
      <c r="D528" s="2"/>
      <c r="E528" s="2"/>
      <c r="F528" s="2"/>
      <c r="G528" s="2"/>
      <c r="H528" s="2"/>
      <c r="I528" s="2"/>
      <c r="J528" s="2"/>
    </row>
    <row r="529" spans="1:10" x14ac:dyDescent="0.2">
      <c r="A529" s="2"/>
      <c r="B529" s="2"/>
      <c r="C529" s="2"/>
      <c r="D529" s="2"/>
      <c r="E529" s="2"/>
      <c r="F529" s="2"/>
      <c r="G529" s="2"/>
      <c r="H529" s="2"/>
      <c r="I529" s="2"/>
      <c r="J529" s="2"/>
    </row>
    <row r="530" spans="1:10" x14ac:dyDescent="0.2">
      <c r="A530" s="2"/>
      <c r="B530" s="2"/>
      <c r="C530" s="2"/>
      <c r="D530" s="2"/>
      <c r="E530" s="2"/>
      <c r="F530" s="2"/>
      <c r="G530" s="2"/>
      <c r="H530" s="2"/>
      <c r="I530" s="2"/>
      <c r="J530" s="2"/>
    </row>
    <row r="531" spans="1:10" x14ac:dyDescent="0.2">
      <c r="A531" s="2"/>
      <c r="B531" s="2"/>
      <c r="C531" s="2"/>
      <c r="D531" s="2"/>
      <c r="E531" s="2"/>
      <c r="F531" s="2"/>
      <c r="G531" s="2"/>
      <c r="H531" s="2"/>
      <c r="I531" s="2"/>
      <c r="J531" s="2"/>
    </row>
    <row r="532" spans="1:10" x14ac:dyDescent="0.2">
      <c r="A532" s="2"/>
      <c r="B532" s="2"/>
      <c r="C532" s="2"/>
      <c r="D532" s="2"/>
      <c r="E532" s="2"/>
      <c r="F532" s="2"/>
      <c r="G532" s="2"/>
      <c r="H532" s="2"/>
      <c r="I532" s="2"/>
      <c r="J532" s="2"/>
    </row>
    <row r="533" spans="1:10" x14ac:dyDescent="0.2">
      <c r="A533" s="2"/>
      <c r="B533" s="2"/>
      <c r="C533" s="2"/>
      <c r="D533" s="2"/>
      <c r="E533" s="2"/>
      <c r="F533" s="2"/>
      <c r="G533" s="2"/>
      <c r="H533" s="2"/>
      <c r="I533" s="2"/>
      <c r="J533" s="2"/>
    </row>
    <row r="534" spans="1:10" x14ac:dyDescent="0.2">
      <c r="A534" s="2"/>
      <c r="B534" s="2"/>
      <c r="C534" s="2"/>
      <c r="D534" s="2"/>
      <c r="E534" s="2"/>
      <c r="F534" s="2"/>
      <c r="G534" s="2"/>
      <c r="H534" s="2"/>
      <c r="I534" s="2"/>
      <c r="J534" s="2"/>
    </row>
    <row r="535" spans="1:10" x14ac:dyDescent="0.2">
      <c r="A535" s="2"/>
      <c r="B535" s="2"/>
      <c r="C535" s="2"/>
      <c r="D535" s="2"/>
      <c r="E535" s="2"/>
      <c r="F535" s="2"/>
      <c r="G535" s="2"/>
      <c r="H535" s="2"/>
      <c r="I535" s="2"/>
      <c r="J535" s="2"/>
    </row>
    <row r="536" spans="1:10" x14ac:dyDescent="0.2">
      <c r="A536" s="2"/>
      <c r="B536" s="2"/>
      <c r="C536" s="2"/>
      <c r="D536" s="2"/>
      <c r="E536" s="2"/>
      <c r="F536" s="2"/>
      <c r="G536" s="2"/>
      <c r="H536" s="2"/>
      <c r="I536" s="2"/>
      <c r="J536" s="2"/>
    </row>
    <row r="537" spans="1:10" x14ac:dyDescent="0.2">
      <c r="A537" s="2"/>
      <c r="B537" s="2"/>
      <c r="C537" s="2"/>
      <c r="D537" s="2"/>
      <c r="E537" s="2"/>
      <c r="F537" s="2"/>
      <c r="G537" s="2"/>
      <c r="H537" s="2"/>
      <c r="I537" s="2"/>
      <c r="J537" s="2"/>
    </row>
    <row r="538" spans="1:10" x14ac:dyDescent="0.2">
      <c r="A538" s="2"/>
      <c r="B538" s="2"/>
      <c r="C538" s="2"/>
      <c r="D538" s="2"/>
      <c r="E538" s="2"/>
      <c r="F538" s="2"/>
      <c r="G538" s="2"/>
      <c r="H538" s="2"/>
      <c r="I538" s="2"/>
      <c r="J538" s="2"/>
    </row>
    <row r="539" spans="1:10" x14ac:dyDescent="0.2">
      <c r="A539" s="2"/>
      <c r="B539" s="2"/>
      <c r="C539" s="2"/>
      <c r="D539" s="2"/>
      <c r="E539" s="2"/>
      <c r="F539" s="2"/>
      <c r="G539" s="2"/>
      <c r="H539" s="2"/>
      <c r="I539" s="2"/>
      <c r="J539" s="2"/>
    </row>
    <row r="540" spans="1:10" x14ac:dyDescent="0.2">
      <c r="A540" s="2"/>
      <c r="B540" s="2"/>
      <c r="C540" s="2"/>
      <c r="D540" s="2"/>
      <c r="E540" s="2"/>
      <c r="F540" s="2"/>
      <c r="G540" s="2"/>
      <c r="H540" s="2"/>
      <c r="I540" s="2"/>
      <c r="J540" s="2"/>
    </row>
    <row r="541" spans="1:10" x14ac:dyDescent="0.2">
      <c r="A541" s="2"/>
      <c r="B541" s="2"/>
      <c r="C541" s="2"/>
      <c r="D541" s="2"/>
      <c r="E541" s="2"/>
      <c r="F541" s="2"/>
      <c r="G541" s="2"/>
      <c r="H541" s="2"/>
      <c r="I541" s="2"/>
      <c r="J541" s="2"/>
    </row>
    <row r="542" spans="1:10" x14ac:dyDescent="0.2">
      <c r="A542" s="2"/>
      <c r="B542" s="2"/>
      <c r="C542" s="2"/>
      <c r="D542" s="2"/>
      <c r="E542" s="2"/>
      <c r="F542" s="2"/>
      <c r="G542" s="2"/>
      <c r="H542" s="2"/>
      <c r="I542" s="2"/>
      <c r="J542" s="2"/>
    </row>
    <row r="543" spans="1:10" x14ac:dyDescent="0.2">
      <c r="A543" s="2"/>
      <c r="B543" s="2"/>
      <c r="C543" s="2"/>
      <c r="D543" s="2"/>
      <c r="E543" s="2"/>
      <c r="F543" s="2"/>
      <c r="G543" s="2"/>
      <c r="H543" s="2"/>
      <c r="I543" s="2"/>
      <c r="J543" s="2"/>
    </row>
    <row r="544" spans="1:10" x14ac:dyDescent="0.2">
      <c r="A544" s="2"/>
      <c r="B544" s="2"/>
      <c r="C544" s="2"/>
      <c r="D544" s="2"/>
      <c r="E544" s="2"/>
      <c r="F544" s="2"/>
      <c r="G544" s="2"/>
      <c r="H544" s="2"/>
      <c r="I544" s="2"/>
      <c r="J544" s="2"/>
    </row>
    <row r="545" spans="1:10" x14ac:dyDescent="0.2">
      <c r="A545" s="2"/>
      <c r="B545" s="2"/>
      <c r="C545" s="2"/>
      <c r="D545" s="2"/>
      <c r="E545" s="2"/>
      <c r="F545" s="2"/>
      <c r="G545" s="2"/>
      <c r="H545" s="2"/>
      <c r="I545" s="2"/>
      <c r="J545" s="2"/>
    </row>
    <row r="546" spans="1:10" x14ac:dyDescent="0.2">
      <c r="A546" s="2"/>
      <c r="B546" s="2"/>
      <c r="C546" s="2"/>
      <c r="D546" s="2"/>
      <c r="E546" s="2"/>
      <c r="F546" s="2"/>
      <c r="G546" s="2"/>
      <c r="H546" s="2"/>
      <c r="I546" s="2"/>
      <c r="J546" s="2"/>
    </row>
    <row r="547" spans="1:10" x14ac:dyDescent="0.2">
      <c r="A547" s="2"/>
      <c r="B547" s="2"/>
      <c r="C547" s="2"/>
      <c r="D547" s="2"/>
      <c r="E547" s="2"/>
      <c r="F547" s="2"/>
      <c r="G547" s="2"/>
      <c r="H547" s="2"/>
      <c r="I547" s="2"/>
      <c r="J547" s="2"/>
    </row>
    <row r="548" spans="1:10" x14ac:dyDescent="0.2">
      <c r="A548" s="2"/>
      <c r="B548" s="2"/>
      <c r="C548" s="2"/>
      <c r="D548" s="2"/>
      <c r="E548" s="2"/>
      <c r="F548" s="2"/>
      <c r="G548" s="2"/>
      <c r="H548" s="2"/>
      <c r="I548" s="2"/>
      <c r="J548" s="2"/>
    </row>
    <row r="549" spans="1:10" x14ac:dyDescent="0.2">
      <c r="A549" s="2"/>
      <c r="B549" s="2"/>
      <c r="C549" s="2"/>
      <c r="D549" s="2"/>
      <c r="E549" s="2"/>
      <c r="F549" s="2"/>
      <c r="G549" s="2"/>
      <c r="H549" s="2"/>
      <c r="I549" s="2"/>
      <c r="J549" s="2"/>
    </row>
    <row r="550" spans="1:10" x14ac:dyDescent="0.2">
      <c r="A550" s="2"/>
      <c r="B550" s="2"/>
      <c r="C550" s="2"/>
      <c r="D550" s="2"/>
      <c r="E550" s="2"/>
      <c r="F550" s="2"/>
      <c r="G550" s="2"/>
      <c r="H550" s="2"/>
      <c r="I550" s="2"/>
      <c r="J550" s="2"/>
    </row>
    <row r="551" spans="1:10" x14ac:dyDescent="0.2">
      <c r="A551" s="2"/>
      <c r="B551" s="2"/>
      <c r="C551" s="2"/>
      <c r="D551" s="2"/>
      <c r="E551" s="2"/>
      <c r="F551" s="2"/>
      <c r="G551" s="2"/>
      <c r="H551" s="2"/>
      <c r="I551" s="2"/>
      <c r="J551" s="2"/>
    </row>
    <row r="552" spans="1:10" x14ac:dyDescent="0.2">
      <c r="A552" s="2"/>
      <c r="B552" s="2"/>
      <c r="C552" s="2"/>
      <c r="D552" s="2"/>
      <c r="E552" s="2"/>
      <c r="F552" s="2"/>
      <c r="G552" s="2"/>
      <c r="H552" s="2"/>
      <c r="I552" s="2"/>
      <c r="J552" s="2"/>
    </row>
    <row r="553" spans="1:10" x14ac:dyDescent="0.2">
      <c r="A553" s="2"/>
      <c r="B553" s="2"/>
      <c r="C553" s="2"/>
      <c r="D553" s="2"/>
      <c r="E553" s="2"/>
      <c r="F553" s="2"/>
      <c r="G553" s="2"/>
      <c r="H553" s="2"/>
      <c r="I553" s="2"/>
      <c r="J553" s="2"/>
    </row>
    <row r="554" spans="1:10" x14ac:dyDescent="0.2">
      <c r="A554" s="2"/>
      <c r="B554" s="2"/>
      <c r="C554" s="2"/>
      <c r="D554" s="2"/>
      <c r="E554" s="2"/>
      <c r="F554" s="2"/>
      <c r="G554" s="2"/>
      <c r="H554" s="2"/>
      <c r="I554" s="2"/>
      <c r="J554" s="2"/>
    </row>
    <row r="555" spans="1:10" x14ac:dyDescent="0.2">
      <c r="A555" s="2"/>
      <c r="B555" s="2"/>
      <c r="C555" s="2"/>
      <c r="D555" s="2"/>
      <c r="E555" s="2"/>
      <c r="F555" s="2"/>
      <c r="G555" s="2"/>
      <c r="H555" s="2"/>
      <c r="I555" s="2"/>
      <c r="J555" s="2"/>
    </row>
    <row r="556" spans="1:10" x14ac:dyDescent="0.2">
      <c r="A556" s="2"/>
      <c r="B556" s="2"/>
      <c r="C556" s="2"/>
      <c r="D556" s="2"/>
      <c r="E556" s="2"/>
      <c r="F556" s="2"/>
      <c r="G556" s="2"/>
      <c r="H556" s="2"/>
      <c r="I556" s="2"/>
      <c r="J556" s="2"/>
    </row>
    <row r="557" spans="1:10" x14ac:dyDescent="0.2">
      <c r="A557" s="2"/>
      <c r="B557" s="2"/>
      <c r="C557" s="2"/>
      <c r="D557" s="2"/>
      <c r="E557" s="2"/>
      <c r="F557" s="2"/>
      <c r="G557" s="2"/>
      <c r="H557" s="2"/>
      <c r="I557" s="2"/>
      <c r="J557" s="2"/>
    </row>
    <row r="558" spans="1:10" x14ac:dyDescent="0.2">
      <c r="A558" s="2"/>
      <c r="B558" s="2"/>
      <c r="C558" s="2"/>
      <c r="D558" s="2"/>
      <c r="E558" s="2"/>
      <c r="F558" s="2"/>
      <c r="G558" s="2"/>
      <c r="H558" s="2"/>
      <c r="I558" s="2"/>
      <c r="J558" s="2"/>
    </row>
    <row r="559" spans="1:10" x14ac:dyDescent="0.2">
      <c r="A559" s="2"/>
      <c r="B559" s="2"/>
      <c r="C559" s="2"/>
      <c r="D559" s="2"/>
      <c r="E559" s="2"/>
      <c r="F559" s="2"/>
      <c r="G559" s="2"/>
      <c r="H559" s="2"/>
      <c r="I559" s="2"/>
      <c r="J559" s="2"/>
    </row>
    <row r="560" spans="1:10" x14ac:dyDescent="0.2">
      <c r="A560" s="2"/>
      <c r="B560" s="2"/>
      <c r="C560" s="2"/>
      <c r="D560" s="2"/>
      <c r="E560" s="2"/>
      <c r="F560" s="2"/>
      <c r="G560" s="2"/>
      <c r="H560" s="2"/>
      <c r="I560" s="2"/>
      <c r="J560" s="2"/>
    </row>
    <row r="561" spans="1:10" x14ac:dyDescent="0.2">
      <c r="A561" s="2"/>
      <c r="B561" s="2"/>
      <c r="C561" s="2"/>
      <c r="D561" s="2"/>
      <c r="E561" s="2"/>
      <c r="F561" s="2"/>
      <c r="G561" s="2"/>
      <c r="H561" s="2"/>
      <c r="I561" s="2"/>
      <c r="J561" s="2"/>
    </row>
    <row r="562" spans="1:10" x14ac:dyDescent="0.2">
      <c r="A562" s="2"/>
      <c r="B562" s="2"/>
      <c r="C562" s="2"/>
      <c r="D562" s="2"/>
      <c r="E562" s="2"/>
      <c r="F562" s="2"/>
      <c r="G562" s="2"/>
      <c r="H562" s="2"/>
      <c r="I562" s="2"/>
      <c r="J562" s="2"/>
    </row>
    <row r="563" spans="1:10" x14ac:dyDescent="0.2">
      <c r="A563" s="2"/>
      <c r="B563" s="2"/>
      <c r="C563" s="2"/>
      <c r="D563" s="2"/>
      <c r="E563" s="2"/>
      <c r="F563" s="2"/>
      <c r="G563" s="2"/>
      <c r="H563" s="2"/>
      <c r="I563" s="2"/>
      <c r="J563" s="2"/>
    </row>
    <row r="564" spans="1:10" x14ac:dyDescent="0.2">
      <c r="A564" s="2"/>
      <c r="B564" s="2"/>
      <c r="C564" s="2"/>
      <c r="D564" s="2"/>
      <c r="E564" s="2"/>
      <c r="F564" s="2"/>
      <c r="G564" s="2"/>
      <c r="H564" s="2"/>
      <c r="I564" s="2"/>
      <c r="J564" s="2"/>
    </row>
    <row r="565" spans="1:10" x14ac:dyDescent="0.2">
      <c r="A565" s="2"/>
      <c r="B565" s="2"/>
      <c r="C565" s="2"/>
      <c r="D565" s="2"/>
      <c r="E565" s="2"/>
      <c r="F565" s="2"/>
      <c r="G565" s="2"/>
      <c r="H565" s="2"/>
      <c r="I565" s="2"/>
      <c r="J565" s="2"/>
    </row>
    <row r="566" spans="1:10" x14ac:dyDescent="0.2">
      <c r="A566" s="2"/>
      <c r="B566" s="2"/>
      <c r="C566" s="2"/>
      <c r="D566" s="2"/>
      <c r="E566" s="2"/>
      <c r="F566" s="2"/>
      <c r="G566" s="2"/>
      <c r="H566" s="2"/>
      <c r="I566" s="2"/>
      <c r="J566" s="2"/>
    </row>
    <row r="567" spans="1:10" x14ac:dyDescent="0.2">
      <c r="A567" s="2"/>
      <c r="B567" s="2"/>
      <c r="C567" s="2"/>
      <c r="D567" s="2"/>
      <c r="E567" s="2"/>
      <c r="F567" s="2"/>
      <c r="G567" s="2"/>
      <c r="H567" s="2"/>
      <c r="I567" s="2"/>
      <c r="J567" s="2"/>
    </row>
    <row r="568" spans="1:10" x14ac:dyDescent="0.2">
      <c r="A568" s="2"/>
      <c r="B568" s="2"/>
      <c r="C568" s="2"/>
      <c r="D568" s="2"/>
      <c r="E568" s="2"/>
      <c r="F568" s="2"/>
      <c r="G568" s="2"/>
      <c r="H568" s="2"/>
      <c r="I568" s="2"/>
      <c r="J568" s="2"/>
    </row>
    <row r="569" spans="1:10" x14ac:dyDescent="0.2">
      <c r="A569" s="2"/>
      <c r="B569" s="2"/>
      <c r="C569" s="2"/>
      <c r="D569" s="2"/>
      <c r="E569" s="2"/>
      <c r="F569" s="2"/>
      <c r="G569" s="2"/>
      <c r="H569" s="2"/>
      <c r="I569" s="2"/>
      <c r="J569" s="2"/>
    </row>
    <row r="570" spans="1:10" x14ac:dyDescent="0.2">
      <c r="A570" s="2"/>
      <c r="B570" s="2"/>
      <c r="C570" s="2"/>
      <c r="D570" s="2"/>
      <c r="E570" s="2"/>
      <c r="F570" s="2"/>
      <c r="G570" s="2"/>
      <c r="H570" s="2"/>
      <c r="I570" s="2"/>
      <c r="J570" s="2"/>
    </row>
    <row r="571" spans="1:10" x14ac:dyDescent="0.2">
      <c r="A571" s="2"/>
      <c r="B571" s="2"/>
      <c r="C571" s="2"/>
      <c r="D571" s="2"/>
      <c r="E571" s="2"/>
      <c r="F571" s="2"/>
      <c r="G571" s="2"/>
      <c r="H571" s="2"/>
      <c r="I571" s="2"/>
      <c r="J571" s="2"/>
    </row>
    <row r="572" spans="1:10" x14ac:dyDescent="0.2">
      <c r="A572" s="2"/>
      <c r="B572" s="2"/>
      <c r="C572" s="2"/>
      <c r="D572" s="2"/>
      <c r="E572" s="2"/>
      <c r="F572" s="2"/>
      <c r="G572" s="2"/>
      <c r="H572" s="2"/>
      <c r="I572" s="2"/>
      <c r="J572" s="2"/>
    </row>
    <row r="573" spans="1:10" x14ac:dyDescent="0.2">
      <c r="A573" s="2"/>
      <c r="B573" s="2"/>
      <c r="C573" s="2"/>
      <c r="D573" s="2"/>
      <c r="E573" s="2"/>
      <c r="F573" s="2"/>
      <c r="G573" s="2"/>
      <c r="H573" s="2"/>
      <c r="I573" s="2"/>
      <c r="J573" s="2"/>
    </row>
    <row r="574" spans="1:10" x14ac:dyDescent="0.2">
      <c r="A574" s="2"/>
      <c r="B574" s="2"/>
      <c r="C574" s="2"/>
      <c r="D574" s="2"/>
      <c r="E574" s="2"/>
      <c r="F574" s="2"/>
      <c r="G574" s="2"/>
      <c r="H574" s="2"/>
      <c r="I574" s="2"/>
      <c r="J574" s="2"/>
    </row>
    <row r="575" spans="1:10" x14ac:dyDescent="0.2">
      <c r="A575" s="2"/>
      <c r="B575" s="2"/>
      <c r="C575" s="2"/>
      <c r="D575" s="2"/>
      <c r="E575" s="2"/>
      <c r="F575" s="2"/>
      <c r="G575" s="2"/>
      <c r="H575" s="2"/>
      <c r="I575" s="2"/>
      <c r="J575" s="2"/>
    </row>
    <row r="576" spans="1:10" x14ac:dyDescent="0.2">
      <c r="A576" s="2"/>
      <c r="B576" s="2"/>
      <c r="C576" s="2"/>
      <c r="D576" s="2"/>
      <c r="E576" s="2"/>
      <c r="F576" s="2"/>
      <c r="G576" s="2"/>
      <c r="H576" s="2"/>
      <c r="I576" s="2"/>
      <c r="J576" s="2"/>
    </row>
    <row r="577" spans="1:10" x14ac:dyDescent="0.2">
      <c r="A577" s="2"/>
      <c r="B577" s="2"/>
      <c r="C577" s="2"/>
      <c r="D577" s="2"/>
      <c r="E577" s="2"/>
      <c r="F577" s="2"/>
      <c r="G577" s="2"/>
      <c r="H577" s="2"/>
      <c r="I577" s="2"/>
      <c r="J577" s="2"/>
    </row>
    <row r="578" spans="1:10" x14ac:dyDescent="0.2">
      <c r="A578" s="2"/>
      <c r="B578" s="2"/>
      <c r="C578" s="2"/>
      <c r="D578" s="2"/>
      <c r="E578" s="2"/>
      <c r="F578" s="2"/>
      <c r="G578" s="2"/>
      <c r="H578" s="2"/>
      <c r="I578" s="2"/>
      <c r="J578" s="2"/>
    </row>
    <row r="579" spans="1:10" x14ac:dyDescent="0.2">
      <c r="A579" s="2"/>
      <c r="B579" s="2"/>
      <c r="C579" s="2"/>
      <c r="D579" s="2"/>
      <c r="E579" s="2"/>
      <c r="F579" s="2"/>
      <c r="G579" s="2"/>
      <c r="H579" s="2"/>
      <c r="I579" s="2"/>
      <c r="J579" s="2"/>
    </row>
    <row r="580" spans="1:10" x14ac:dyDescent="0.2">
      <c r="A580" s="2"/>
      <c r="B580" s="2"/>
      <c r="C580" s="2"/>
      <c r="D580" s="2"/>
      <c r="E580" s="2"/>
      <c r="F580" s="2"/>
      <c r="G580" s="2"/>
      <c r="H580" s="2"/>
      <c r="I580" s="2"/>
      <c r="J580" s="2"/>
    </row>
    <row r="581" spans="1:10" x14ac:dyDescent="0.2">
      <c r="A581" s="2"/>
      <c r="B581" s="2"/>
      <c r="C581" s="2"/>
      <c r="D581" s="2"/>
      <c r="E581" s="2"/>
      <c r="F581" s="2"/>
      <c r="G581" s="2"/>
      <c r="H581" s="2"/>
      <c r="I581" s="2"/>
      <c r="J581" s="2"/>
    </row>
    <row r="582" spans="1:10" x14ac:dyDescent="0.2">
      <c r="A582" s="2"/>
      <c r="B582" s="2"/>
      <c r="C582" s="2"/>
      <c r="D582" s="2"/>
      <c r="E582" s="2"/>
      <c r="F582" s="2"/>
      <c r="G582" s="2"/>
      <c r="H582" s="2"/>
      <c r="I582" s="2"/>
      <c r="J582" s="2"/>
    </row>
    <row r="583" spans="1:10" x14ac:dyDescent="0.2">
      <c r="A583" s="2"/>
      <c r="B583" s="2"/>
      <c r="C583" s="2"/>
      <c r="D583" s="2"/>
      <c r="E583" s="2"/>
      <c r="F583" s="2"/>
      <c r="G583" s="2"/>
      <c r="H583" s="2"/>
      <c r="I583" s="2"/>
      <c r="J583" s="2"/>
    </row>
    <row r="584" spans="1:10" x14ac:dyDescent="0.2">
      <c r="A584" s="2"/>
      <c r="B584" s="2"/>
      <c r="C584" s="2"/>
      <c r="D584" s="2"/>
      <c r="E584" s="2"/>
      <c r="F584" s="2"/>
      <c r="G584" s="2"/>
      <c r="H584" s="2"/>
      <c r="I584" s="2"/>
      <c r="J584" s="2"/>
    </row>
    <row r="585" spans="1:10" x14ac:dyDescent="0.2">
      <c r="A585" s="2"/>
      <c r="B585" s="2"/>
      <c r="C585" s="2"/>
      <c r="D585" s="2"/>
      <c r="E585" s="2"/>
      <c r="F585" s="2"/>
      <c r="G585" s="2"/>
      <c r="H585" s="2"/>
      <c r="I585" s="2"/>
      <c r="J585" s="2"/>
    </row>
    <row r="586" spans="1:10" x14ac:dyDescent="0.2">
      <c r="A586" s="2"/>
      <c r="B586" s="2"/>
      <c r="C586" s="2"/>
      <c r="D586" s="2"/>
      <c r="E586" s="2"/>
      <c r="F586" s="2"/>
      <c r="G586" s="2"/>
      <c r="H586" s="2"/>
      <c r="I586" s="2"/>
      <c r="J586" s="2"/>
    </row>
    <row r="587" spans="1:10" x14ac:dyDescent="0.2">
      <c r="A587" s="2"/>
      <c r="B587" s="2"/>
      <c r="C587" s="2"/>
      <c r="D587" s="2"/>
      <c r="E587" s="2"/>
      <c r="F587" s="2"/>
      <c r="G587" s="2"/>
      <c r="H587" s="2"/>
      <c r="I587" s="2"/>
      <c r="J587" s="2"/>
    </row>
    <row r="588" spans="1:10" x14ac:dyDescent="0.2">
      <c r="A588" s="2"/>
      <c r="B588" s="2"/>
      <c r="C588" s="2"/>
      <c r="D588" s="2"/>
      <c r="E588" s="2"/>
      <c r="F588" s="2"/>
      <c r="G588" s="2"/>
      <c r="H588" s="2"/>
      <c r="I588" s="2"/>
      <c r="J588" s="2"/>
    </row>
    <row r="589" spans="1:10" x14ac:dyDescent="0.2">
      <c r="A589" s="2"/>
      <c r="B589" s="2"/>
      <c r="C589" s="2"/>
      <c r="D589" s="2"/>
      <c r="E589" s="2"/>
      <c r="F589" s="2"/>
      <c r="G589" s="2"/>
      <c r="H589" s="2"/>
      <c r="I589" s="2"/>
      <c r="J589" s="2"/>
    </row>
    <row r="590" spans="1:10" x14ac:dyDescent="0.2">
      <c r="A590" s="2"/>
      <c r="B590" s="2"/>
      <c r="C590" s="2"/>
      <c r="D590" s="2"/>
      <c r="E590" s="2"/>
      <c r="F590" s="2"/>
      <c r="G590" s="2"/>
      <c r="H590" s="2"/>
      <c r="I590" s="2"/>
      <c r="J590" s="2"/>
    </row>
    <row r="591" spans="1:10" x14ac:dyDescent="0.2">
      <c r="A591" s="2"/>
      <c r="B591" s="2"/>
      <c r="C591" s="2"/>
      <c r="D591" s="2"/>
      <c r="E591" s="2"/>
      <c r="F591" s="2"/>
      <c r="G591" s="2"/>
      <c r="H591" s="2"/>
      <c r="I591" s="2"/>
      <c r="J591" s="2"/>
    </row>
    <row r="592" spans="1:10" x14ac:dyDescent="0.2">
      <c r="A592" s="2"/>
      <c r="B592" s="2"/>
      <c r="C592" s="2"/>
      <c r="D592" s="2"/>
      <c r="E592" s="2"/>
      <c r="F592" s="2"/>
      <c r="G592" s="2"/>
      <c r="H592" s="2"/>
      <c r="I592" s="2"/>
      <c r="J592" s="2"/>
    </row>
    <row r="593" spans="1:10" x14ac:dyDescent="0.2">
      <c r="A593" s="2"/>
      <c r="B593" s="2"/>
      <c r="C593" s="2"/>
      <c r="D593" s="2"/>
      <c r="E593" s="2"/>
      <c r="F593" s="2"/>
      <c r="G593" s="2"/>
      <c r="H593" s="2"/>
      <c r="I593" s="2"/>
      <c r="J593" s="2"/>
    </row>
    <row r="594" spans="1:10" x14ac:dyDescent="0.2">
      <c r="A594" s="2"/>
      <c r="B594" s="2"/>
      <c r="C594" s="2"/>
      <c r="D594" s="2"/>
      <c r="E594" s="2"/>
      <c r="F594" s="2"/>
      <c r="G594" s="2"/>
      <c r="H594" s="2"/>
      <c r="I594" s="2"/>
      <c r="J594" s="2"/>
    </row>
    <row r="595" spans="1:10" x14ac:dyDescent="0.2">
      <c r="A595" s="2"/>
      <c r="B595" s="2"/>
      <c r="C595" s="2"/>
      <c r="D595" s="2"/>
      <c r="E595" s="2"/>
      <c r="F595" s="2"/>
      <c r="G595" s="2"/>
      <c r="H595" s="2"/>
      <c r="I595" s="2"/>
      <c r="J595" s="2"/>
    </row>
    <row r="596" spans="1:10" x14ac:dyDescent="0.2">
      <c r="A596" s="2"/>
      <c r="B596" s="2"/>
      <c r="C596" s="2"/>
      <c r="D596" s="2"/>
      <c r="E596" s="2"/>
      <c r="F596" s="2"/>
      <c r="G596" s="2"/>
      <c r="H596" s="2"/>
      <c r="I596" s="2"/>
      <c r="J596" s="2"/>
    </row>
    <row r="597" spans="1:10" x14ac:dyDescent="0.2">
      <c r="A597" s="2"/>
      <c r="B597" s="2"/>
      <c r="C597" s="2"/>
      <c r="D597" s="2"/>
      <c r="E597" s="2"/>
      <c r="F597" s="2"/>
      <c r="G597" s="2"/>
      <c r="H597" s="2"/>
      <c r="I597" s="2"/>
      <c r="J597" s="2"/>
    </row>
    <row r="598" spans="1:10" x14ac:dyDescent="0.2">
      <c r="A598" s="2"/>
      <c r="B598" s="2"/>
      <c r="C598" s="2"/>
      <c r="D598" s="2"/>
      <c r="E598" s="2"/>
      <c r="F598" s="2"/>
      <c r="G598" s="2"/>
      <c r="H598" s="2"/>
      <c r="I598" s="2"/>
      <c r="J598" s="2"/>
    </row>
    <row r="599" spans="1:10" x14ac:dyDescent="0.2">
      <c r="A599" s="2"/>
      <c r="B599" s="2"/>
      <c r="C599" s="2"/>
      <c r="D599" s="2"/>
      <c r="E599" s="2"/>
      <c r="F599" s="2"/>
      <c r="G599" s="2"/>
      <c r="H599" s="2"/>
      <c r="I599" s="2"/>
      <c r="J599" s="2"/>
    </row>
    <row r="600" spans="1:10" x14ac:dyDescent="0.2">
      <c r="A600" s="2"/>
      <c r="B600" s="2"/>
      <c r="C600" s="2"/>
      <c r="D600" s="2"/>
      <c r="E600" s="2"/>
      <c r="F600" s="2"/>
      <c r="G600" s="2"/>
      <c r="H600" s="2"/>
      <c r="I600" s="2"/>
      <c r="J600" s="2"/>
    </row>
    <row r="601" spans="1:10" x14ac:dyDescent="0.2">
      <c r="A601" s="2"/>
      <c r="B601" s="2"/>
      <c r="C601" s="2"/>
      <c r="D601" s="2"/>
      <c r="E601" s="2"/>
      <c r="F601" s="2"/>
      <c r="G601" s="2"/>
      <c r="H601" s="2"/>
      <c r="I601" s="2"/>
      <c r="J601" s="2"/>
    </row>
    <row r="602" spans="1:10" x14ac:dyDescent="0.2">
      <c r="A602" s="2"/>
      <c r="B602" s="2"/>
      <c r="C602" s="2"/>
      <c r="D602" s="2"/>
      <c r="E602" s="2"/>
      <c r="F602" s="2"/>
      <c r="G602" s="2"/>
      <c r="H602" s="2"/>
      <c r="I602" s="2"/>
      <c r="J602" s="2"/>
    </row>
    <row r="603" spans="1:10" x14ac:dyDescent="0.2">
      <c r="A603" s="2"/>
      <c r="B603" s="2"/>
      <c r="C603" s="2"/>
      <c r="D603" s="2"/>
      <c r="E603" s="2"/>
      <c r="F603" s="2"/>
      <c r="G603" s="2"/>
      <c r="H603" s="2"/>
      <c r="I603" s="2"/>
      <c r="J603" s="2"/>
    </row>
    <row r="604" spans="1:10" x14ac:dyDescent="0.2">
      <c r="A604" s="2"/>
      <c r="B604" s="2"/>
      <c r="C604" s="2"/>
      <c r="D604" s="2"/>
      <c r="E604" s="2"/>
      <c r="F604" s="2"/>
      <c r="G604" s="2"/>
      <c r="H604" s="2"/>
      <c r="I604" s="2"/>
      <c r="J604" s="2"/>
    </row>
    <row r="605" spans="1:10" x14ac:dyDescent="0.2">
      <c r="A605" s="2"/>
      <c r="B605" s="2"/>
      <c r="C605" s="2"/>
      <c r="D605" s="2"/>
      <c r="E605" s="2"/>
      <c r="F605" s="2"/>
      <c r="G605" s="2"/>
      <c r="H605" s="2"/>
      <c r="I605" s="2"/>
      <c r="J605" s="2"/>
    </row>
    <row r="606" spans="1:10" x14ac:dyDescent="0.2">
      <c r="A606" s="2"/>
      <c r="B606" s="2"/>
      <c r="C606" s="2"/>
      <c r="D606" s="2"/>
      <c r="E606" s="2"/>
      <c r="F606" s="2"/>
      <c r="G606" s="2"/>
      <c r="H606" s="2"/>
      <c r="I606" s="2"/>
      <c r="J606" s="2"/>
    </row>
    <row r="607" spans="1:10" x14ac:dyDescent="0.2">
      <c r="A607" s="2"/>
      <c r="B607" s="2"/>
      <c r="C607" s="2"/>
      <c r="D607" s="2"/>
      <c r="E607" s="2"/>
      <c r="F607" s="2"/>
      <c r="G607" s="2"/>
      <c r="H607" s="2"/>
      <c r="I607" s="2"/>
      <c r="J607" s="2"/>
    </row>
    <row r="608" spans="1:10" x14ac:dyDescent="0.2">
      <c r="A608" s="2"/>
      <c r="B608" s="2"/>
      <c r="C608" s="2"/>
      <c r="D608" s="2"/>
      <c r="E608" s="2"/>
      <c r="F608" s="2"/>
      <c r="G608" s="2"/>
      <c r="H608" s="2"/>
      <c r="I608" s="2"/>
      <c r="J608" s="2"/>
    </row>
    <row r="609" spans="1:10" x14ac:dyDescent="0.2">
      <c r="A609" s="2"/>
      <c r="B609" s="2"/>
      <c r="C609" s="2"/>
      <c r="D609" s="2"/>
      <c r="E609" s="2"/>
      <c r="F609" s="2"/>
      <c r="G609" s="2"/>
      <c r="H609" s="2"/>
      <c r="I609" s="2"/>
      <c r="J609" s="2"/>
    </row>
    <row r="610" spans="1:10" x14ac:dyDescent="0.2">
      <c r="A610" s="2"/>
      <c r="B610" s="2"/>
      <c r="C610" s="2"/>
      <c r="D610" s="2"/>
      <c r="E610" s="2"/>
      <c r="F610" s="2"/>
      <c r="G610" s="2"/>
      <c r="H610" s="2"/>
      <c r="I610" s="2"/>
      <c r="J610" s="2"/>
    </row>
    <row r="611" spans="1:10" x14ac:dyDescent="0.2">
      <c r="A611" s="2"/>
      <c r="B611" s="2"/>
      <c r="C611" s="2"/>
      <c r="D611" s="2"/>
      <c r="E611" s="2"/>
      <c r="F611" s="2"/>
      <c r="G611" s="2"/>
      <c r="H611" s="2"/>
      <c r="I611" s="2"/>
      <c r="J611" s="2"/>
    </row>
    <row r="612" spans="1:10" x14ac:dyDescent="0.2">
      <c r="A612" s="2"/>
      <c r="B612" s="2"/>
      <c r="C612" s="2"/>
      <c r="D612" s="2"/>
      <c r="E612" s="2"/>
      <c r="F612" s="2"/>
      <c r="G612" s="2"/>
      <c r="H612" s="2"/>
      <c r="I612" s="2"/>
      <c r="J612" s="2"/>
    </row>
    <row r="613" spans="1:10" x14ac:dyDescent="0.2">
      <c r="A613" s="2"/>
      <c r="B613" s="2"/>
      <c r="C613" s="2"/>
      <c r="D613" s="2"/>
      <c r="E613" s="2"/>
      <c r="F613" s="2"/>
      <c r="G613" s="2"/>
      <c r="H613" s="2"/>
      <c r="I613" s="2"/>
      <c r="J613" s="2"/>
    </row>
    <row r="614" spans="1:10" x14ac:dyDescent="0.2">
      <c r="A614" s="2"/>
      <c r="B614" s="2"/>
      <c r="C614" s="2"/>
      <c r="D614" s="2"/>
      <c r="E614" s="2"/>
      <c r="F614" s="2"/>
      <c r="G614" s="2"/>
      <c r="H614" s="2"/>
      <c r="I614" s="2"/>
      <c r="J614" s="2"/>
    </row>
    <row r="615" spans="1:10" x14ac:dyDescent="0.2">
      <c r="A615" s="2"/>
      <c r="B615" s="2"/>
      <c r="C615" s="2"/>
      <c r="D615" s="2"/>
      <c r="E615" s="2"/>
      <c r="F615" s="2"/>
      <c r="G615" s="2"/>
      <c r="H615" s="2"/>
      <c r="I615" s="2"/>
      <c r="J615" s="2"/>
    </row>
    <row r="616" spans="1:10" x14ac:dyDescent="0.2">
      <c r="A616" s="2"/>
      <c r="B616" s="2"/>
      <c r="C616" s="2"/>
      <c r="D616" s="2"/>
      <c r="E616" s="2"/>
      <c r="F616" s="2"/>
      <c r="G616" s="2"/>
      <c r="H616" s="2"/>
      <c r="I616" s="2"/>
      <c r="J616" s="2"/>
    </row>
    <row r="617" spans="1:10" x14ac:dyDescent="0.2">
      <c r="A617" s="2"/>
      <c r="B617" s="2"/>
      <c r="C617" s="2"/>
      <c r="D617" s="2"/>
      <c r="E617" s="2"/>
      <c r="F617" s="2"/>
      <c r="G617" s="2"/>
      <c r="H617" s="2"/>
      <c r="I617" s="2"/>
      <c r="J617" s="2"/>
    </row>
    <row r="618" spans="1:10" x14ac:dyDescent="0.2">
      <c r="A618" s="2"/>
      <c r="B618" s="2"/>
      <c r="C618" s="2"/>
      <c r="D618" s="2"/>
      <c r="E618" s="2"/>
      <c r="F618" s="2"/>
      <c r="G618" s="2"/>
      <c r="H618" s="2"/>
      <c r="I618" s="2"/>
      <c r="J618" s="2"/>
    </row>
    <row r="619" spans="1:10" x14ac:dyDescent="0.2">
      <c r="A619" s="2"/>
      <c r="B619" s="2"/>
      <c r="C619" s="2"/>
      <c r="D619" s="2"/>
      <c r="E619" s="2"/>
      <c r="F619" s="2"/>
      <c r="G619" s="2"/>
      <c r="H619" s="2"/>
      <c r="I619" s="2"/>
      <c r="J619" s="2"/>
    </row>
    <row r="620" spans="1:10" x14ac:dyDescent="0.2">
      <c r="A620" s="2"/>
      <c r="B620" s="2"/>
      <c r="C620" s="2"/>
      <c r="D620" s="2"/>
      <c r="E620" s="2"/>
      <c r="F620" s="2"/>
      <c r="G620" s="2"/>
      <c r="H620" s="2"/>
      <c r="I620" s="2"/>
      <c r="J620" s="2"/>
    </row>
    <row r="621" spans="1:10" x14ac:dyDescent="0.2">
      <c r="A621" s="2"/>
      <c r="B621" s="2"/>
      <c r="C621" s="2"/>
      <c r="D621" s="2"/>
      <c r="E621" s="2"/>
      <c r="F621" s="2"/>
      <c r="G621" s="2"/>
      <c r="H621" s="2"/>
      <c r="I621" s="2"/>
      <c r="J621" s="2"/>
    </row>
    <row r="622" spans="1:10" x14ac:dyDescent="0.2">
      <c r="A622" s="2"/>
      <c r="B622" s="2"/>
      <c r="C622" s="2"/>
      <c r="D622" s="2"/>
      <c r="E622" s="2"/>
      <c r="F622" s="2"/>
      <c r="G622" s="2"/>
      <c r="H622" s="2"/>
      <c r="I622" s="2"/>
      <c r="J622" s="2"/>
    </row>
    <row r="623" spans="1:10" x14ac:dyDescent="0.2">
      <c r="A623" s="2"/>
      <c r="B623" s="2"/>
      <c r="C623" s="2"/>
      <c r="D623" s="2"/>
      <c r="E623" s="2"/>
      <c r="F623" s="2"/>
      <c r="G623" s="2"/>
      <c r="H623" s="2"/>
      <c r="I623" s="2"/>
      <c r="J623" s="2"/>
    </row>
    <row r="624" spans="1:10" x14ac:dyDescent="0.2">
      <c r="A624" s="2"/>
      <c r="B624" s="2"/>
      <c r="C624" s="2"/>
      <c r="D624" s="2"/>
      <c r="E624" s="2"/>
      <c r="F624" s="2"/>
      <c r="G624" s="2"/>
      <c r="H624" s="2"/>
      <c r="I624" s="2"/>
      <c r="J624" s="2"/>
    </row>
    <row r="625" spans="1:10" x14ac:dyDescent="0.2">
      <c r="A625" s="2"/>
      <c r="B625" s="2"/>
      <c r="C625" s="2"/>
      <c r="D625" s="2"/>
      <c r="E625" s="2"/>
      <c r="F625" s="2"/>
      <c r="G625" s="2"/>
      <c r="H625" s="2"/>
      <c r="I625" s="2"/>
      <c r="J625" s="2"/>
    </row>
    <row r="626" spans="1:10" x14ac:dyDescent="0.2">
      <c r="A626" s="2"/>
      <c r="B626" s="2"/>
      <c r="C626" s="2"/>
      <c r="D626" s="2"/>
      <c r="E626" s="2"/>
      <c r="F626" s="2"/>
      <c r="G626" s="2"/>
      <c r="H626" s="2"/>
      <c r="I626" s="2"/>
      <c r="J626" s="2"/>
    </row>
    <row r="627" spans="1:10" x14ac:dyDescent="0.2">
      <c r="A627" s="2"/>
      <c r="B627" s="2"/>
      <c r="C627" s="2"/>
      <c r="D627" s="2"/>
      <c r="E627" s="2"/>
      <c r="F627" s="2"/>
      <c r="G627" s="2"/>
      <c r="H627" s="2"/>
      <c r="I627" s="2"/>
      <c r="J627" s="2"/>
    </row>
    <row r="628" spans="1:10" x14ac:dyDescent="0.2">
      <c r="A628" s="2"/>
      <c r="B628" s="2"/>
      <c r="C628" s="2"/>
      <c r="D628" s="2"/>
      <c r="E628" s="2"/>
      <c r="F628" s="2"/>
      <c r="G628" s="2"/>
      <c r="H628" s="2"/>
      <c r="I628" s="2"/>
      <c r="J628" s="2"/>
    </row>
    <row r="629" spans="1:10" x14ac:dyDescent="0.2">
      <c r="A629" s="2"/>
      <c r="B629" s="2"/>
      <c r="C629" s="2"/>
      <c r="D629" s="2"/>
      <c r="E629" s="2"/>
      <c r="F629" s="2"/>
      <c r="G629" s="2"/>
      <c r="H629" s="2"/>
      <c r="I629" s="2"/>
      <c r="J629" s="2"/>
    </row>
    <row r="630" spans="1:10" x14ac:dyDescent="0.2">
      <c r="A630" s="2"/>
      <c r="B630" s="2"/>
      <c r="C630" s="2"/>
      <c r="D630" s="2"/>
      <c r="E630" s="2"/>
      <c r="F630" s="2"/>
      <c r="G630" s="2"/>
      <c r="H630" s="2"/>
      <c r="I630" s="2"/>
      <c r="J630" s="2"/>
    </row>
    <row r="631" spans="1:10" x14ac:dyDescent="0.2">
      <c r="A631" s="2"/>
      <c r="B631" s="2"/>
      <c r="C631" s="2"/>
      <c r="D631" s="2"/>
      <c r="E631" s="2"/>
      <c r="F631" s="2"/>
      <c r="G631" s="2"/>
      <c r="H631" s="2"/>
      <c r="I631" s="2"/>
      <c r="J631" s="2"/>
    </row>
    <row r="632" spans="1:10" x14ac:dyDescent="0.2">
      <c r="A632" s="2"/>
      <c r="B632" s="2"/>
      <c r="C632" s="2"/>
      <c r="D632" s="2"/>
      <c r="E632" s="2"/>
      <c r="F632" s="2"/>
      <c r="G632" s="2"/>
      <c r="H632" s="2"/>
      <c r="I632" s="2"/>
      <c r="J632" s="2"/>
    </row>
    <row r="633" spans="1:10" x14ac:dyDescent="0.2">
      <c r="A633" s="2"/>
      <c r="B633" s="2"/>
      <c r="C633" s="2"/>
      <c r="D633" s="2"/>
      <c r="E633" s="2"/>
      <c r="F633" s="2"/>
      <c r="G633" s="2"/>
      <c r="H633" s="2"/>
      <c r="I633" s="2"/>
      <c r="J633" s="2"/>
    </row>
    <row r="634" spans="1:10" x14ac:dyDescent="0.2">
      <c r="A634" s="2"/>
      <c r="B634" s="2"/>
      <c r="C634" s="2"/>
      <c r="D634" s="2"/>
      <c r="E634" s="2"/>
      <c r="F634" s="2"/>
      <c r="G634" s="2"/>
      <c r="H634" s="2"/>
      <c r="I634" s="2"/>
      <c r="J634" s="2"/>
    </row>
    <row r="635" spans="1:10" x14ac:dyDescent="0.2">
      <c r="A635" s="2"/>
      <c r="B635" s="2"/>
      <c r="C635" s="2"/>
      <c r="D635" s="2"/>
      <c r="E635" s="2"/>
      <c r="F635" s="2"/>
      <c r="G635" s="2"/>
      <c r="H635" s="2"/>
      <c r="I635" s="2"/>
      <c r="J635" s="2"/>
    </row>
    <row r="636" spans="1:10" x14ac:dyDescent="0.2">
      <c r="A636" s="2"/>
      <c r="B636" s="2"/>
      <c r="C636" s="2"/>
      <c r="D636" s="2"/>
      <c r="E636" s="2"/>
      <c r="F636" s="2"/>
      <c r="G636" s="2"/>
      <c r="H636" s="2"/>
      <c r="I636" s="2"/>
      <c r="J636" s="2"/>
    </row>
    <row r="637" spans="1:10" x14ac:dyDescent="0.2">
      <c r="A637" s="2"/>
      <c r="B637" s="2"/>
      <c r="C637" s="2"/>
      <c r="D637" s="2"/>
      <c r="E637" s="2"/>
      <c r="F637" s="2"/>
      <c r="G637" s="2"/>
      <c r="H637" s="2"/>
      <c r="I637" s="2"/>
      <c r="J637" s="2"/>
    </row>
    <row r="638" spans="1:10" x14ac:dyDescent="0.2">
      <c r="A638" s="2"/>
      <c r="B638" s="2"/>
      <c r="C638" s="2"/>
      <c r="D638" s="2"/>
      <c r="E638" s="2"/>
      <c r="F638" s="2"/>
      <c r="G638" s="2"/>
      <c r="H638" s="2"/>
      <c r="I638" s="2"/>
      <c r="J638" s="2"/>
    </row>
    <row r="639" spans="1:10" x14ac:dyDescent="0.2">
      <c r="A639" s="2"/>
      <c r="B639" s="2"/>
      <c r="C639" s="2"/>
      <c r="D639" s="2"/>
      <c r="E639" s="2"/>
      <c r="F639" s="2"/>
      <c r="G639" s="2"/>
      <c r="H639" s="2"/>
      <c r="I639" s="2"/>
      <c r="J639" s="2"/>
    </row>
    <row r="640" spans="1:10" x14ac:dyDescent="0.2">
      <c r="A640" s="2"/>
      <c r="B640" s="2"/>
      <c r="C640" s="2"/>
      <c r="D640" s="2"/>
      <c r="E640" s="2"/>
      <c r="F640" s="2"/>
      <c r="G640" s="2"/>
      <c r="H640" s="2"/>
      <c r="I640" s="2"/>
      <c r="J640" s="2"/>
    </row>
    <row r="641" spans="1:10" x14ac:dyDescent="0.2">
      <c r="A641" s="2"/>
      <c r="B641" s="2"/>
      <c r="C641" s="2"/>
      <c r="D641" s="2"/>
      <c r="E641" s="2"/>
      <c r="F641" s="2"/>
      <c r="G641" s="2"/>
      <c r="H641" s="2"/>
      <c r="I641" s="2"/>
      <c r="J641" s="2"/>
    </row>
    <row r="642" spans="1:10" x14ac:dyDescent="0.2">
      <c r="A642" s="2"/>
      <c r="B642" s="2"/>
      <c r="C642" s="2"/>
      <c r="D642" s="2"/>
      <c r="E642" s="2"/>
      <c r="F642" s="2"/>
      <c r="G642" s="2"/>
      <c r="H642" s="2"/>
      <c r="I642" s="2"/>
      <c r="J642" s="2"/>
    </row>
    <row r="643" spans="1:10" x14ac:dyDescent="0.2">
      <c r="A643" s="2"/>
      <c r="B643" s="2"/>
      <c r="C643" s="2"/>
      <c r="D643" s="2"/>
      <c r="E643" s="2"/>
      <c r="F643" s="2"/>
      <c r="G643" s="2"/>
      <c r="H643" s="2"/>
      <c r="I643" s="2"/>
      <c r="J643" s="2"/>
    </row>
    <row r="644" spans="1:10" x14ac:dyDescent="0.2">
      <c r="A644" s="2"/>
      <c r="B644" s="2"/>
      <c r="C644" s="2"/>
      <c r="D644" s="2"/>
      <c r="E644" s="2"/>
      <c r="F644" s="2"/>
      <c r="G644" s="2"/>
      <c r="H644" s="2"/>
      <c r="I644" s="2"/>
      <c r="J644" s="2"/>
    </row>
    <row r="645" spans="1:10" x14ac:dyDescent="0.2">
      <c r="A645" s="2"/>
      <c r="B645" s="2"/>
      <c r="C645" s="2"/>
      <c r="D645" s="2"/>
      <c r="E645" s="2"/>
      <c r="F645" s="2"/>
      <c r="G645" s="2"/>
      <c r="H645" s="2"/>
      <c r="I645" s="2"/>
      <c r="J645" s="2"/>
    </row>
    <row r="646" spans="1:10" x14ac:dyDescent="0.2">
      <c r="A646" s="2"/>
      <c r="B646" s="2"/>
      <c r="C646" s="2"/>
      <c r="D646" s="2"/>
      <c r="E646" s="2"/>
      <c r="F646" s="2"/>
      <c r="G646" s="2"/>
      <c r="H646" s="2"/>
      <c r="I646" s="2"/>
      <c r="J646" s="2"/>
    </row>
    <row r="647" spans="1:10" x14ac:dyDescent="0.2">
      <c r="A647" s="2"/>
      <c r="B647" s="2"/>
      <c r="C647" s="2"/>
      <c r="D647" s="2"/>
      <c r="E647" s="2"/>
      <c r="F647" s="2"/>
      <c r="G647" s="2"/>
      <c r="H647" s="2"/>
      <c r="I647" s="2"/>
      <c r="J647" s="2"/>
    </row>
    <row r="648" spans="1:10" x14ac:dyDescent="0.2">
      <c r="A648" s="2"/>
      <c r="B648" s="2"/>
      <c r="C648" s="2"/>
      <c r="D648" s="2"/>
      <c r="E648" s="2"/>
      <c r="F648" s="2"/>
      <c r="G648" s="2"/>
      <c r="H648" s="2"/>
      <c r="I648" s="2"/>
      <c r="J648" s="2"/>
    </row>
    <row r="649" spans="1:10" x14ac:dyDescent="0.2">
      <c r="A649" s="2"/>
      <c r="B649" s="2"/>
      <c r="C649" s="2"/>
      <c r="D649" s="2"/>
      <c r="E649" s="2"/>
      <c r="F649" s="2"/>
      <c r="G649" s="2"/>
      <c r="H649" s="2"/>
      <c r="I649" s="2"/>
      <c r="J649" s="2"/>
    </row>
    <row r="650" spans="1:10" x14ac:dyDescent="0.2">
      <c r="A650" s="2"/>
      <c r="B650" s="2"/>
      <c r="C650" s="2"/>
      <c r="D650" s="2"/>
      <c r="E650" s="2"/>
      <c r="F650" s="2"/>
      <c r="G650" s="2"/>
      <c r="H650" s="2"/>
      <c r="I650" s="2"/>
      <c r="J650" s="2"/>
    </row>
    <row r="651" spans="1:10" x14ac:dyDescent="0.2">
      <c r="A651" s="2"/>
      <c r="B651" s="2"/>
      <c r="C651" s="2"/>
      <c r="D651" s="2"/>
      <c r="E651" s="2"/>
      <c r="F651" s="2"/>
      <c r="G651" s="2"/>
      <c r="H651" s="2"/>
      <c r="I651" s="2"/>
      <c r="J651" s="2"/>
    </row>
    <row r="652" spans="1:10" x14ac:dyDescent="0.2">
      <c r="A652" s="2"/>
      <c r="B652" s="2"/>
      <c r="C652" s="2"/>
      <c r="D652" s="2"/>
      <c r="E652" s="2"/>
      <c r="F652" s="2"/>
      <c r="G652" s="2"/>
      <c r="H652" s="2"/>
      <c r="I652" s="2"/>
      <c r="J652" s="2"/>
    </row>
    <row r="653" spans="1:10" x14ac:dyDescent="0.2">
      <c r="A653" s="2"/>
      <c r="B653" s="2"/>
      <c r="C653" s="2"/>
      <c r="D653" s="2"/>
      <c r="E653" s="2"/>
      <c r="F653" s="2"/>
      <c r="G653" s="2"/>
      <c r="H653" s="2"/>
      <c r="I653" s="2"/>
      <c r="J653" s="2"/>
    </row>
    <row r="654" spans="1:10" x14ac:dyDescent="0.2">
      <c r="A654" s="2"/>
      <c r="B654" s="2"/>
      <c r="C654" s="2"/>
      <c r="D654" s="2"/>
      <c r="E654" s="2"/>
      <c r="F654" s="2"/>
      <c r="G654" s="2"/>
      <c r="H654" s="2"/>
      <c r="I654" s="2"/>
      <c r="J654" s="2"/>
    </row>
    <row r="655" spans="1:10" x14ac:dyDescent="0.2">
      <c r="A655" s="2"/>
      <c r="B655" s="2"/>
      <c r="C655" s="2"/>
      <c r="D655" s="2"/>
      <c r="E655" s="2"/>
      <c r="F655" s="2"/>
      <c r="G655" s="2"/>
      <c r="H655" s="2"/>
      <c r="I655" s="2"/>
      <c r="J655" s="2"/>
    </row>
    <row r="656" spans="1:10" x14ac:dyDescent="0.2">
      <c r="A656" s="2"/>
      <c r="B656" s="2"/>
      <c r="C656" s="2"/>
      <c r="D656" s="2"/>
      <c r="E656" s="2"/>
      <c r="F656" s="2"/>
      <c r="G656" s="2"/>
      <c r="H656" s="2"/>
      <c r="I656" s="2"/>
      <c r="J656" s="2"/>
    </row>
    <row r="657" spans="1:10" x14ac:dyDescent="0.2">
      <c r="A657" s="2"/>
      <c r="B657" s="2"/>
      <c r="C657" s="2"/>
      <c r="D657" s="2"/>
      <c r="E657" s="2"/>
      <c r="F657" s="2"/>
      <c r="G657" s="2"/>
      <c r="H657" s="2"/>
      <c r="I657" s="2"/>
      <c r="J657" s="2"/>
    </row>
    <row r="658" spans="1:10" x14ac:dyDescent="0.2">
      <c r="A658" s="2"/>
      <c r="B658" s="2"/>
      <c r="C658" s="2"/>
      <c r="D658" s="2"/>
      <c r="E658" s="2"/>
      <c r="F658" s="2"/>
      <c r="G658" s="2"/>
      <c r="H658" s="2"/>
      <c r="I658" s="2"/>
      <c r="J658" s="2"/>
    </row>
    <row r="659" spans="1:10" x14ac:dyDescent="0.2">
      <c r="A659" s="2"/>
      <c r="B659" s="2"/>
      <c r="C659" s="2"/>
      <c r="D659" s="2"/>
      <c r="E659" s="2"/>
      <c r="F659" s="2"/>
      <c r="G659" s="2"/>
      <c r="H659" s="2"/>
      <c r="I659" s="2"/>
      <c r="J659" s="2"/>
    </row>
    <row r="660" spans="1:10" x14ac:dyDescent="0.2">
      <c r="A660" s="2"/>
      <c r="B660" s="2"/>
      <c r="C660" s="2"/>
      <c r="D660" s="2"/>
      <c r="E660" s="2"/>
      <c r="F660" s="2"/>
      <c r="G660" s="2"/>
      <c r="H660" s="2"/>
      <c r="I660" s="2"/>
      <c r="J660" s="2"/>
    </row>
    <row r="661" spans="1:10" x14ac:dyDescent="0.2">
      <c r="A661" s="2"/>
      <c r="B661" s="2"/>
      <c r="C661" s="2"/>
      <c r="D661" s="2"/>
      <c r="E661" s="2"/>
      <c r="F661" s="2"/>
      <c r="G661" s="2"/>
      <c r="H661" s="2"/>
      <c r="I661" s="2"/>
      <c r="J661" s="2"/>
    </row>
    <row r="662" spans="1:10" x14ac:dyDescent="0.2">
      <c r="A662" s="2"/>
      <c r="B662" s="2"/>
      <c r="C662" s="2"/>
      <c r="D662" s="2"/>
      <c r="E662" s="2"/>
      <c r="F662" s="2"/>
      <c r="G662" s="2"/>
      <c r="H662" s="2"/>
      <c r="I662" s="2"/>
      <c r="J662" s="2"/>
    </row>
    <row r="663" spans="1:10" x14ac:dyDescent="0.2">
      <c r="A663" s="2"/>
      <c r="B663" s="2"/>
      <c r="C663" s="2"/>
      <c r="D663" s="2"/>
      <c r="E663" s="2"/>
      <c r="F663" s="2"/>
      <c r="G663" s="2"/>
      <c r="H663" s="2"/>
      <c r="I663" s="2"/>
      <c r="J663" s="2"/>
    </row>
    <row r="664" spans="1:10" x14ac:dyDescent="0.2">
      <c r="A664" s="2"/>
      <c r="B664" s="2"/>
      <c r="C664" s="2"/>
      <c r="D664" s="2"/>
      <c r="E664" s="2"/>
      <c r="F664" s="2"/>
      <c r="G664" s="2"/>
      <c r="H664" s="2"/>
      <c r="I664" s="2"/>
      <c r="J664" s="2"/>
    </row>
    <row r="665" spans="1:10" x14ac:dyDescent="0.2">
      <c r="A665" s="2"/>
      <c r="B665" s="2"/>
      <c r="C665" s="2"/>
      <c r="D665" s="2"/>
      <c r="E665" s="2"/>
      <c r="F665" s="2"/>
      <c r="G665" s="2"/>
      <c r="H665" s="2"/>
      <c r="I665" s="2"/>
      <c r="J665" s="2"/>
    </row>
    <row r="666" spans="1:10" x14ac:dyDescent="0.2">
      <c r="A666" s="2"/>
      <c r="B666" s="2"/>
      <c r="C666" s="2"/>
      <c r="D666" s="2"/>
      <c r="E666" s="2"/>
      <c r="F666" s="2"/>
      <c r="G666" s="2"/>
      <c r="H666" s="2"/>
      <c r="I666" s="2"/>
      <c r="J666" s="2"/>
    </row>
    <row r="667" spans="1:10" x14ac:dyDescent="0.2">
      <c r="A667" s="2"/>
      <c r="B667" s="2"/>
      <c r="C667" s="2"/>
      <c r="D667" s="2"/>
      <c r="E667" s="2"/>
      <c r="F667" s="2"/>
      <c r="G667" s="2"/>
      <c r="H667" s="2"/>
      <c r="I667" s="2"/>
      <c r="J667" s="2"/>
    </row>
    <row r="668" spans="1:10" x14ac:dyDescent="0.2">
      <c r="A668" s="2"/>
      <c r="B668" s="2"/>
      <c r="C668" s="2"/>
      <c r="D668" s="2"/>
      <c r="E668" s="2"/>
      <c r="F668" s="2"/>
      <c r="G668" s="2"/>
      <c r="H668" s="2"/>
      <c r="I668" s="2"/>
      <c r="J668" s="2"/>
    </row>
    <row r="669" spans="1:10" x14ac:dyDescent="0.2">
      <c r="A669" s="2"/>
      <c r="B669" s="2"/>
      <c r="C669" s="2"/>
      <c r="D669" s="2"/>
      <c r="E669" s="2"/>
      <c r="F669" s="2"/>
      <c r="G669" s="2"/>
      <c r="H669" s="2"/>
      <c r="I669" s="2"/>
      <c r="J669" s="2"/>
    </row>
    <row r="670" spans="1:10" x14ac:dyDescent="0.2">
      <c r="A670" s="2"/>
      <c r="B670" s="2"/>
      <c r="C670" s="2"/>
      <c r="D670" s="2"/>
      <c r="E670" s="2"/>
      <c r="F670" s="2"/>
      <c r="G670" s="2"/>
      <c r="H670" s="2"/>
      <c r="I670" s="2"/>
      <c r="J670" s="2"/>
    </row>
    <row r="671" spans="1:10" x14ac:dyDescent="0.2">
      <c r="A671" s="2"/>
      <c r="B671" s="2"/>
      <c r="C671" s="2"/>
      <c r="D671" s="2"/>
      <c r="E671" s="2"/>
      <c r="F671" s="2"/>
      <c r="G671" s="2"/>
      <c r="H671" s="2"/>
      <c r="I671" s="2"/>
      <c r="J671" s="2"/>
    </row>
    <row r="672" spans="1:10" x14ac:dyDescent="0.2">
      <c r="A672" s="2"/>
      <c r="B672" s="2"/>
      <c r="C672" s="2"/>
      <c r="D672" s="2"/>
      <c r="E672" s="2"/>
      <c r="F672" s="2"/>
      <c r="G672" s="2"/>
      <c r="H672" s="2"/>
      <c r="I672" s="2"/>
      <c r="J672" s="2"/>
    </row>
    <row r="673" spans="1:10" x14ac:dyDescent="0.2">
      <c r="A673" s="2"/>
      <c r="B673" s="2"/>
      <c r="C673" s="2"/>
      <c r="D673" s="2"/>
      <c r="E673" s="2"/>
      <c r="F673" s="2"/>
      <c r="G673" s="2"/>
      <c r="H673" s="2"/>
      <c r="I673" s="2"/>
      <c r="J673" s="2"/>
    </row>
    <row r="674" spans="1:10" x14ac:dyDescent="0.2">
      <c r="A674" s="2"/>
      <c r="B674" s="2"/>
      <c r="C674" s="2"/>
      <c r="D674" s="2"/>
      <c r="E674" s="2"/>
      <c r="F674" s="2"/>
      <c r="G674" s="2"/>
      <c r="H674" s="2"/>
      <c r="I674" s="2"/>
      <c r="J674" s="2"/>
    </row>
    <row r="675" spans="1:10" x14ac:dyDescent="0.2">
      <c r="A675" s="2"/>
      <c r="B675" s="2"/>
      <c r="C675" s="2"/>
      <c r="D675" s="2"/>
      <c r="E675" s="2"/>
      <c r="F675" s="2"/>
      <c r="G675" s="2"/>
      <c r="H675" s="2"/>
      <c r="I675" s="2"/>
      <c r="J675" s="2"/>
    </row>
    <row r="676" spans="1:10" x14ac:dyDescent="0.2">
      <c r="A676" s="2"/>
      <c r="B676" s="2"/>
      <c r="C676" s="2"/>
      <c r="D676" s="2"/>
      <c r="E676" s="2"/>
      <c r="F676" s="2"/>
      <c r="G676" s="2"/>
      <c r="H676" s="2"/>
      <c r="I676" s="2"/>
      <c r="J676" s="2"/>
    </row>
    <row r="677" spans="1:10" x14ac:dyDescent="0.2">
      <c r="A677" s="2"/>
      <c r="B677" s="2"/>
      <c r="C677" s="2"/>
      <c r="D677" s="2"/>
      <c r="E677" s="2"/>
      <c r="F677" s="2"/>
      <c r="G677" s="2"/>
      <c r="H677" s="2"/>
      <c r="I677" s="2"/>
      <c r="J677" s="2"/>
    </row>
    <row r="678" spans="1:10" x14ac:dyDescent="0.2">
      <c r="A678" s="2"/>
      <c r="B678" s="2"/>
      <c r="C678" s="2"/>
      <c r="D678" s="2"/>
      <c r="E678" s="2"/>
      <c r="F678" s="2"/>
      <c r="G678" s="2"/>
      <c r="H678" s="2"/>
      <c r="I678" s="2"/>
      <c r="J678" s="2"/>
    </row>
    <row r="679" spans="1:10" x14ac:dyDescent="0.2">
      <c r="A679" s="2"/>
      <c r="B679" s="2"/>
      <c r="C679" s="2"/>
      <c r="D679" s="2"/>
      <c r="E679" s="2"/>
      <c r="F679" s="2"/>
      <c r="G679" s="2"/>
      <c r="H679" s="2"/>
      <c r="I679" s="2"/>
      <c r="J679" s="2"/>
    </row>
    <row r="680" spans="1:10" x14ac:dyDescent="0.2">
      <c r="A680" s="2"/>
      <c r="B680" s="2"/>
      <c r="C680" s="2"/>
      <c r="D680" s="2"/>
      <c r="E680" s="2"/>
      <c r="F680" s="2"/>
      <c r="G680" s="2"/>
      <c r="H680" s="2"/>
      <c r="I680" s="2"/>
      <c r="J680" s="2"/>
    </row>
    <row r="681" spans="1:10" x14ac:dyDescent="0.2">
      <c r="A681" s="2"/>
      <c r="B681" s="2"/>
      <c r="C681" s="2"/>
      <c r="D681" s="2"/>
      <c r="E681" s="2"/>
      <c r="F681" s="2"/>
      <c r="G681" s="2"/>
      <c r="H681" s="2"/>
      <c r="I681" s="2"/>
      <c r="J681" s="2"/>
    </row>
    <row r="682" spans="1:10" x14ac:dyDescent="0.2">
      <c r="A682" s="2"/>
      <c r="B682" s="2"/>
      <c r="C682" s="2"/>
      <c r="D682" s="2"/>
      <c r="E682" s="2"/>
      <c r="F682" s="2"/>
      <c r="G682" s="2"/>
      <c r="H682" s="2"/>
      <c r="I682" s="2"/>
      <c r="J682" s="2"/>
    </row>
    <row r="683" spans="1:10" x14ac:dyDescent="0.2">
      <c r="A683" s="2"/>
      <c r="B683" s="2"/>
      <c r="C683" s="2"/>
      <c r="D683" s="2"/>
      <c r="E683" s="2"/>
      <c r="F683" s="2"/>
      <c r="G683" s="2"/>
      <c r="H683" s="2"/>
      <c r="I683" s="2"/>
      <c r="J683" s="2"/>
    </row>
    <row r="684" spans="1:10" x14ac:dyDescent="0.2">
      <c r="A684" s="2"/>
      <c r="B684" s="2"/>
      <c r="C684" s="2"/>
      <c r="D684" s="2"/>
      <c r="E684" s="2"/>
      <c r="F684" s="2"/>
      <c r="G684" s="2"/>
      <c r="H684" s="2"/>
      <c r="I684" s="2"/>
      <c r="J684" s="2"/>
    </row>
    <row r="685" spans="1:10" x14ac:dyDescent="0.2">
      <c r="A685" s="2"/>
      <c r="B685" s="2"/>
      <c r="C685" s="2"/>
      <c r="D685" s="2"/>
      <c r="E685" s="2"/>
      <c r="F685" s="2"/>
      <c r="G685" s="2"/>
      <c r="H685" s="2"/>
      <c r="I685" s="2"/>
      <c r="J685" s="2"/>
    </row>
    <row r="686" spans="1:10" x14ac:dyDescent="0.2">
      <c r="A686" s="2"/>
      <c r="B686" s="2"/>
      <c r="C686" s="2"/>
      <c r="D686" s="2"/>
      <c r="E686" s="2"/>
      <c r="F686" s="2"/>
      <c r="G686" s="2"/>
      <c r="H686" s="2"/>
      <c r="I686" s="2"/>
      <c r="J686" s="2"/>
    </row>
    <row r="687" spans="1:10" x14ac:dyDescent="0.2">
      <c r="A687" s="2"/>
      <c r="B687" s="2"/>
      <c r="C687" s="2"/>
      <c r="D687" s="2"/>
      <c r="E687" s="2"/>
      <c r="F687" s="2"/>
      <c r="G687" s="2"/>
      <c r="H687" s="2"/>
      <c r="I687" s="2"/>
      <c r="J687" s="2"/>
    </row>
    <row r="688" spans="1:10" x14ac:dyDescent="0.2">
      <c r="A688" s="2"/>
      <c r="B688" s="2"/>
      <c r="C688" s="2"/>
      <c r="D688" s="2"/>
      <c r="E688" s="2"/>
      <c r="F688" s="2"/>
      <c r="G688" s="2"/>
      <c r="H688" s="2"/>
      <c r="I688" s="2"/>
      <c r="J688" s="2"/>
    </row>
    <row r="689" spans="1:10" x14ac:dyDescent="0.2">
      <c r="A689" s="2"/>
      <c r="B689" s="2"/>
      <c r="C689" s="2"/>
      <c r="D689" s="2"/>
      <c r="E689" s="2"/>
      <c r="F689" s="2"/>
      <c r="G689" s="2"/>
      <c r="H689" s="2"/>
      <c r="I689" s="2"/>
      <c r="J689" s="2"/>
    </row>
    <row r="690" spans="1:10" x14ac:dyDescent="0.2">
      <c r="A690" s="2"/>
      <c r="B690" s="2"/>
      <c r="C690" s="2"/>
      <c r="D690" s="2"/>
      <c r="E690" s="2"/>
      <c r="F690" s="2"/>
      <c r="G690" s="2"/>
      <c r="H690" s="2"/>
      <c r="I690" s="2"/>
      <c r="J690" s="2"/>
    </row>
    <row r="691" spans="1:10" x14ac:dyDescent="0.2">
      <c r="A691" s="2"/>
      <c r="B691" s="2"/>
      <c r="C691" s="2"/>
      <c r="D691" s="2"/>
      <c r="E691" s="2"/>
      <c r="F691" s="2"/>
      <c r="G691" s="2"/>
      <c r="H691" s="2"/>
      <c r="I691" s="2"/>
      <c r="J691" s="2"/>
    </row>
    <row r="692" spans="1:10" x14ac:dyDescent="0.2">
      <c r="A692" s="2"/>
      <c r="B692" s="2"/>
      <c r="C692" s="2"/>
      <c r="D692" s="2"/>
      <c r="E692" s="2"/>
      <c r="F692" s="2"/>
      <c r="G692" s="2"/>
      <c r="H692" s="2"/>
      <c r="I692" s="2"/>
      <c r="J692" s="2"/>
    </row>
    <row r="693" spans="1:10" x14ac:dyDescent="0.2">
      <c r="A693" s="2"/>
      <c r="B693" s="2"/>
      <c r="C693" s="2"/>
      <c r="D693" s="2"/>
      <c r="E693" s="2"/>
      <c r="F693" s="2"/>
      <c r="G693" s="2"/>
      <c r="H693" s="2"/>
      <c r="I693" s="2"/>
      <c r="J693" s="2"/>
    </row>
    <row r="694" spans="1:10" x14ac:dyDescent="0.2">
      <c r="A694" s="2"/>
      <c r="B694" s="2"/>
      <c r="C694" s="2"/>
      <c r="D694" s="2"/>
      <c r="E694" s="2"/>
      <c r="F694" s="2"/>
      <c r="G694" s="2"/>
      <c r="H694" s="2"/>
      <c r="I694" s="2"/>
      <c r="J694" s="2"/>
    </row>
    <row r="695" spans="1:10" x14ac:dyDescent="0.2">
      <c r="A695" s="2"/>
      <c r="B695" s="2"/>
      <c r="C695" s="2"/>
      <c r="D695" s="2"/>
      <c r="E695" s="2"/>
      <c r="F695" s="2"/>
      <c r="G695" s="2"/>
      <c r="H695" s="2"/>
      <c r="I695" s="2"/>
      <c r="J695" s="2"/>
    </row>
    <row r="696" spans="1:10" x14ac:dyDescent="0.2">
      <c r="A696" s="2"/>
      <c r="B696" s="2"/>
      <c r="C696" s="2"/>
      <c r="D696" s="2"/>
      <c r="E696" s="2"/>
      <c r="F696" s="2"/>
      <c r="G696" s="2"/>
      <c r="H696" s="2"/>
      <c r="I696" s="2"/>
      <c r="J696" s="2"/>
    </row>
    <row r="697" spans="1:10" x14ac:dyDescent="0.2">
      <c r="A697" s="2"/>
      <c r="B697" s="2"/>
      <c r="C697" s="2"/>
      <c r="D697" s="2"/>
      <c r="E697" s="2"/>
      <c r="F697" s="2"/>
      <c r="G697" s="2"/>
      <c r="H697" s="2"/>
      <c r="I697" s="2"/>
      <c r="J697" s="2"/>
    </row>
    <row r="698" spans="1:10" x14ac:dyDescent="0.2">
      <c r="A698" s="2"/>
      <c r="B698" s="2"/>
      <c r="C698" s="2"/>
      <c r="D698" s="2"/>
      <c r="E698" s="2"/>
      <c r="F698" s="2"/>
      <c r="G698" s="2"/>
      <c r="H698" s="2"/>
      <c r="I698" s="2"/>
      <c r="J698" s="2"/>
    </row>
    <row r="699" spans="1:10" x14ac:dyDescent="0.2">
      <c r="A699" s="2"/>
      <c r="B699" s="2"/>
      <c r="C699" s="2"/>
      <c r="D699" s="2"/>
      <c r="E699" s="2"/>
      <c r="F699" s="2"/>
      <c r="G699" s="2"/>
      <c r="H699" s="2"/>
      <c r="I699" s="2"/>
      <c r="J699" s="2"/>
    </row>
    <row r="700" spans="1:10" x14ac:dyDescent="0.2">
      <c r="A700" s="2"/>
      <c r="B700" s="2"/>
      <c r="C700" s="2"/>
      <c r="D700" s="2"/>
      <c r="E700" s="2"/>
      <c r="F700" s="2"/>
      <c r="G700" s="2"/>
      <c r="H700" s="2"/>
      <c r="I700" s="2"/>
      <c r="J700" s="2"/>
    </row>
    <row r="701" spans="1:10" x14ac:dyDescent="0.2">
      <c r="A701" s="2"/>
      <c r="B701" s="2"/>
      <c r="C701" s="2"/>
      <c r="D701" s="2"/>
      <c r="E701" s="2"/>
      <c r="F701" s="2"/>
      <c r="G701" s="2"/>
      <c r="H701" s="2"/>
      <c r="I701" s="2"/>
      <c r="J701" s="2"/>
    </row>
    <row r="702" spans="1:10" x14ac:dyDescent="0.2">
      <c r="A702" s="2"/>
      <c r="B702" s="2"/>
      <c r="C702" s="2"/>
      <c r="D702" s="2"/>
      <c r="E702" s="2"/>
      <c r="F702" s="2"/>
      <c r="G702" s="2"/>
      <c r="H702" s="2"/>
      <c r="I702" s="2"/>
      <c r="J702" s="2"/>
    </row>
    <row r="703" spans="1:10" x14ac:dyDescent="0.2">
      <c r="A703" s="2"/>
      <c r="B703" s="2"/>
      <c r="C703" s="2"/>
      <c r="D703" s="2"/>
      <c r="E703" s="2"/>
      <c r="F703" s="2"/>
      <c r="G703" s="2"/>
      <c r="H703" s="2"/>
      <c r="I703" s="2"/>
      <c r="J703" s="2"/>
    </row>
    <row r="704" spans="1:10" x14ac:dyDescent="0.2">
      <c r="A704" s="2"/>
      <c r="B704" s="2"/>
      <c r="C704" s="2"/>
      <c r="D704" s="2"/>
      <c r="E704" s="2"/>
      <c r="F704" s="2"/>
      <c r="G704" s="2"/>
      <c r="H704" s="2"/>
      <c r="I704" s="2"/>
      <c r="J704" s="2"/>
    </row>
    <row r="705" spans="1:10" x14ac:dyDescent="0.2">
      <c r="A705" s="2"/>
      <c r="B705" s="2"/>
      <c r="C705" s="2"/>
      <c r="D705" s="2"/>
      <c r="E705" s="2"/>
      <c r="F705" s="2"/>
      <c r="G705" s="2"/>
      <c r="H705" s="2"/>
      <c r="I705" s="2"/>
      <c r="J705" s="2"/>
    </row>
    <row r="706" spans="1:10" x14ac:dyDescent="0.2">
      <c r="A706" s="2"/>
      <c r="B706" s="2"/>
      <c r="C706" s="2"/>
      <c r="D706" s="2"/>
      <c r="E706" s="2"/>
      <c r="F706" s="2"/>
      <c r="G706" s="2"/>
      <c r="H706" s="2"/>
      <c r="I706" s="2"/>
      <c r="J706" s="2"/>
    </row>
    <row r="707" spans="1:10" x14ac:dyDescent="0.2">
      <c r="A707" s="2"/>
      <c r="B707" s="2"/>
      <c r="C707" s="2"/>
      <c r="D707" s="2"/>
      <c r="E707" s="2"/>
      <c r="F707" s="2"/>
      <c r="G707" s="2"/>
      <c r="H707" s="2"/>
      <c r="I707" s="2"/>
      <c r="J707" s="2"/>
    </row>
    <row r="708" spans="1:10" x14ac:dyDescent="0.2">
      <c r="A708" s="2"/>
      <c r="B708" s="2"/>
      <c r="C708" s="2"/>
      <c r="D708" s="2"/>
      <c r="E708" s="2"/>
      <c r="F708" s="2"/>
      <c r="G708" s="2"/>
      <c r="H708" s="2"/>
      <c r="I708" s="2"/>
      <c r="J708" s="2"/>
    </row>
    <row r="709" spans="1:10" x14ac:dyDescent="0.2">
      <c r="A709" s="2"/>
      <c r="B709" s="2"/>
      <c r="C709" s="2"/>
      <c r="D709" s="2"/>
      <c r="E709" s="2"/>
      <c r="F709" s="2"/>
      <c r="G709" s="2"/>
      <c r="H709" s="2"/>
      <c r="I709" s="2"/>
      <c r="J709" s="2"/>
    </row>
    <row r="710" spans="1:10" x14ac:dyDescent="0.2">
      <c r="A710" s="2"/>
      <c r="B710" s="2"/>
      <c r="C710" s="2"/>
      <c r="D710" s="2"/>
      <c r="E710" s="2"/>
      <c r="F710" s="2"/>
      <c r="G710" s="2"/>
      <c r="H710" s="2"/>
      <c r="I710" s="2"/>
      <c r="J710" s="2"/>
    </row>
    <row r="711" spans="1:10" x14ac:dyDescent="0.2">
      <c r="A711" s="2"/>
      <c r="B711" s="2"/>
      <c r="C711" s="2"/>
      <c r="D711" s="2"/>
      <c r="E711" s="2"/>
      <c r="F711" s="2"/>
      <c r="G711" s="2"/>
      <c r="H711" s="2"/>
      <c r="I711" s="2"/>
      <c r="J711" s="2"/>
    </row>
    <row r="712" spans="1:10" x14ac:dyDescent="0.2">
      <c r="A712" s="2"/>
      <c r="B712" s="2"/>
      <c r="C712" s="2"/>
      <c r="D712" s="2"/>
      <c r="E712" s="2"/>
      <c r="F712" s="2"/>
      <c r="G712" s="2"/>
      <c r="H712" s="2"/>
      <c r="I712" s="2"/>
      <c r="J712" s="2"/>
    </row>
    <row r="713" spans="1:10" x14ac:dyDescent="0.2">
      <c r="A713" s="2"/>
      <c r="B713" s="2"/>
      <c r="C713" s="2"/>
      <c r="D713" s="2"/>
      <c r="E713" s="2"/>
      <c r="F713" s="2"/>
      <c r="G713" s="2"/>
      <c r="H713" s="2"/>
      <c r="I713" s="2"/>
      <c r="J713" s="2"/>
    </row>
    <row r="714" spans="1:10" x14ac:dyDescent="0.2">
      <c r="A714" s="2"/>
      <c r="B714" s="2"/>
      <c r="C714" s="2"/>
      <c r="D714" s="2"/>
      <c r="E714" s="2"/>
      <c r="F714" s="2"/>
      <c r="G714" s="2"/>
      <c r="H714" s="2"/>
      <c r="I714" s="2"/>
      <c r="J714" s="2"/>
    </row>
    <row r="715" spans="1:10" x14ac:dyDescent="0.2">
      <c r="A715" s="2"/>
      <c r="B715" s="2"/>
      <c r="C715" s="2"/>
      <c r="D715" s="2"/>
      <c r="E715" s="2"/>
      <c r="F715" s="2"/>
      <c r="G715" s="2"/>
      <c r="H715" s="2"/>
      <c r="I715" s="2"/>
      <c r="J715" s="2"/>
    </row>
    <row r="716" spans="1:10" x14ac:dyDescent="0.2">
      <c r="A716" s="2"/>
      <c r="B716" s="2"/>
      <c r="C716" s="2"/>
      <c r="D716" s="2"/>
      <c r="E716" s="2"/>
      <c r="F716" s="2"/>
      <c r="G716" s="2"/>
      <c r="H716" s="2"/>
      <c r="I716" s="2"/>
      <c r="J716" s="2"/>
    </row>
    <row r="717" spans="1:10" x14ac:dyDescent="0.2">
      <c r="A717" s="2"/>
      <c r="B717" s="2"/>
      <c r="C717" s="2"/>
      <c r="D717" s="2"/>
      <c r="E717" s="2"/>
      <c r="F717" s="2"/>
      <c r="G717" s="2"/>
      <c r="H717" s="2"/>
      <c r="I717" s="2"/>
      <c r="J717" s="2"/>
    </row>
    <row r="718" spans="1:10" x14ac:dyDescent="0.2">
      <c r="A718" s="2"/>
      <c r="B718" s="2"/>
      <c r="C718" s="2"/>
      <c r="D718" s="2"/>
      <c r="E718" s="2"/>
      <c r="F718" s="2"/>
      <c r="G718" s="2"/>
      <c r="H718" s="2"/>
      <c r="I718" s="2"/>
      <c r="J718" s="2"/>
    </row>
    <row r="719" spans="1:10" x14ac:dyDescent="0.2">
      <c r="A719" s="2"/>
      <c r="B719" s="2"/>
      <c r="C719" s="2"/>
      <c r="D719" s="2"/>
      <c r="E719" s="2"/>
      <c r="F719" s="2"/>
      <c r="G719" s="2"/>
      <c r="H719" s="2"/>
      <c r="I719" s="2"/>
      <c r="J719" s="2"/>
    </row>
    <row r="720" spans="1:10" x14ac:dyDescent="0.2">
      <c r="A720" s="2"/>
      <c r="B720" s="2"/>
      <c r="C720" s="2"/>
      <c r="D720" s="2"/>
      <c r="E720" s="2"/>
      <c r="F720" s="2"/>
      <c r="G720" s="2"/>
      <c r="H720" s="2"/>
      <c r="I720" s="2"/>
      <c r="J720" s="2"/>
    </row>
    <row r="721" spans="1:10" x14ac:dyDescent="0.2">
      <c r="A721" s="2"/>
      <c r="B721" s="2"/>
      <c r="C721" s="2"/>
      <c r="D721" s="2"/>
      <c r="E721" s="2"/>
      <c r="F721" s="2"/>
      <c r="G721" s="2"/>
      <c r="H721" s="2"/>
      <c r="I721" s="2"/>
      <c r="J721" s="2"/>
    </row>
    <row r="722" spans="1:10" x14ac:dyDescent="0.2">
      <c r="A722" s="2"/>
      <c r="B722" s="2"/>
      <c r="C722" s="2"/>
      <c r="D722" s="2"/>
      <c r="E722" s="2"/>
      <c r="F722" s="2"/>
      <c r="G722" s="2"/>
      <c r="H722" s="2"/>
      <c r="I722" s="2"/>
      <c r="J722" s="2"/>
    </row>
    <row r="723" spans="1:10" x14ac:dyDescent="0.2">
      <c r="A723" s="2"/>
      <c r="B723" s="2"/>
      <c r="C723" s="2"/>
      <c r="D723" s="2"/>
      <c r="E723" s="2"/>
      <c r="F723" s="2"/>
      <c r="G723" s="2"/>
      <c r="H723" s="2"/>
      <c r="I723" s="2"/>
      <c r="J723" s="2"/>
    </row>
    <row r="724" spans="1:10" x14ac:dyDescent="0.2">
      <c r="A724" s="2"/>
      <c r="B724" s="2"/>
      <c r="C724" s="2"/>
      <c r="D724" s="2"/>
      <c r="E724" s="2"/>
      <c r="F724" s="2"/>
      <c r="G724" s="2"/>
      <c r="H724" s="2"/>
      <c r="I724" s="2"/>
      <c r="J724" s="2"/>
    </row>
    <row r="725" spans="1:10" x14ac:dyDescent="0.2">
      <c r="A725" s="2"/>
      <c r="B725" s="2"/>
      <c r="C725" s="2"/>
      <c r="D725" s="2"/>
      <c r="E725" s="2"/>
      <c r="F725" s="2"/>
      <c r="G725" s="2"/>
      <c r="H725" s="2"/>
      <c r="I725" s="2"/>
      <c r="J725" s="2"/>
    </row>
    <row r="726" spans="1:10" x14ac:dyDescent="0.2">
      <c r="A726" s="2"/>
      <c r="B726" s="2"/>
      <c r="C726" s="2"/>
      <c r="D726" s="2"/>
      <c r="E726" s="2"/>
      <c r="F726" s="2"/>
      <c r="G726" s="2"/>
      <c r="H726" s="2"/>
      <c r="I726" s="2"/>
      <c r="J726" s="2"/>
    </row>
    <row r="727" spans="1:10" x14ac:dyDescent="0.2">
      <c r="A727" s="2"/>
      <c r="B727" s="2"/>
      <c r="C727" s="2"/>
      <c r="D727" s="2"/>
      <c r="E727" s="2"/>
      <c r="F727" s="2"/>
      <c r="G727" s="2"/>
      <c r="H727" s="2"/>
      <c r="I727" s="2"/>
      <c r="J727" s="2"/>
    </row>
    <row r="728" spans="1:10" x14ac:dyDescent="0.2">
      <c r="A728" s="2"/>
      <c r="B728" s="2"/>
      <c r="C728" s="2"/>
      <c r="D728" s="2"/>
      <c r="E728" s="2"/>
      <c r="F728" s="2"/>
      <c r="G728" s="2"/>
      <c r="H728" s="2"/>
      <c r="I728" s="2"/>
      <c r="J728" s="2"/>
    </row>
    <row r="729" spans="1:10" x14ac:dyDescent="0.2">
      <c r="A729" s="2"/>
      <c r="B729" s="2"/>
      <c r="C729" s="2"/>
      <c r="D729" s="2"/>
      <c r="E729" s="2"/>
      <c r="F729" s="2"/>
      <c r="G729" s="2"/>
      <c r="H729" s="2"/>
      <c r="I729" s="2"/>
      <c r="J729" s="2"/>
    </row>
    <row r="730" spans="1:10" x14ac:dyDescent="0.2">
      <c r="A730" s="2"/>
      <c r="B730" s="2"/>
      <c r="C730" s="2"/>
      <c r="D730" s="2"/>
      <c r="E730" s="2"/>
      <c r="F730" s="2"/>
      <c r="G730" s="2"/>
      <c r="H730" s="2"/>
      <c r="I730" s="2"/>
      <c r="J730" s="2"/>
    </row>
    <row r="731" spans="1:10" x14ac:dyDescent="0.2">
      <c r="A731" s="2"/>
      <c r="B731" s="2"/>
      <c r="C731" s="2"/>
      <c r="D731" s="2"/>
      <c r="E731" s="2"/>
      <c r="F731" s="2"/>
      <c r="G731" s="2"/>
      <c r="H731" s="2"/>
      <c r="I731" s="2"/>
      <c r="J731" s="2"/>
    </row>
    <row r="732" spans="1:10" x14ac:dyDescent="0.2">
      <c r="A732" s="2"/>
      <c r="B732" s="2"/>
      <c r="C732" s="2"/>
      <c r="D732" s="2"/>
      <c r="E732" s="2"/>
      <c r="F732" s="2"/>
      <c r="G732" s="2"/>
      <c r="H732" s="2"/>
      <c r="I732" s="2"/>
      <c r="J732" s="2"/>
    </row>
    <row r="733" spans="1:10" x14ac:dyDescent="0.2">
      <c r="A733" s="2"/>
      <c r="B733" s="2"/>
      <c r="C733" s="2"/>
      <c r="D733" s="2"/>
      <c r="E733" s="2"/>
      <c r="F733" s="2"/>
      <c r="G733" s="2"/>
      <c r="H733" s="2"/>
      <c r="I733" s="2"/>
      <c r="J733" s="2"/>
    </row>
    <row r="734" spans="1:10" x14ac:dyDescent="0.2">
      <c r="A734" s="2"/>
      <c r="B734" s="2"/>
      <c r="C734" s="2"/>
      <c r="D734" s="2"/>
      <c r="E734" s="2"/>
      <c r="F734" s="2"/>
      <c r="G734" s="2"/>
      <c r="H734" s="2"/>
      <c r="I734" s="2"/>
      <c r="J734" s="2"/>
    </row>
    <row r="735" spans="1:10" x14ac:dyDescent="0.2">
      <c r="A735" s="2"/>
      <c r="B735" s="2"/>
      <c r="C735" s="2"/>
      <c r="D735" s="2"/>
      <c r="E735" s="2"/>
      <c r="F735" s="2"/>
      <c r="G735" s="2"/>
      <c r="H735" s="2"/>
      <c r="I735" s="2"/>
      <c r="J735" s="2"/>
    </row>
    <row r="736" spans="1:10" x14ac:dyDescent="0.2">
      <c r="A736" s="2"/>
      <c r="B736" s="2"/>
      <c r="C736" s="2"/>
      <c r="D736" s="2"/>
      <c r="E736" s="2"/>
      <c r="F736" s="2"/>
      <c r="G736" s="2"/>
      <c r="H736" s="2"/>
      <c r="I736" s="2"/>
      <c r="J736" s="2"/>
    </row>
    <row r="737" spans="1:10" x14ac:dyDescent="0.2">
      <c r="A737" s="2"/>
      <c r="B737" s="2"/>
      <c r="C737" s="2"/>
      <c r="D737" s="2"/>
      <c r="E737" s="2"/>
      <c r="F737" s="2"/>
      <c r="G737" s="2"/>
      <c r="H737" s="2"/>
      <c r="I737" s="2"/>
      <c r="J737" s="2"/>
    </row>
    <row r="738" spans="1:10" x14ac:dyDescent="0.2">
      <c r="A738" s="2"/>
      <c r="B738" s="2"/>
      <c r="C738" s="2"/>
      <c r="D738" s="2"/>
      <c r="E738" s="2"/>
      <c r="F738" s="2"/>
      <c r="G738" s="2"/>
      <c r="H738" s="2"/>
      <c r="I738" s="2"/>
      <c r="J738" s="2"/>
    </row>
    <row r="739" spans="1:10" x14ac:dyDescent="0.2">
      <c r="A739" s="2"/>
      <c r="B739" s="2"/>
      <c r="C739" s="2"/>
      <c r="D739" s="2"/>
      <c r="E739" s="2"/>
      <c r="F739" s="2"/>
      <c r="G739" s="2"/>
      <c r="H739" s="2"/>
      <c r="I739" s="2"/>
      <c r="J739" s="2"/>
    </row>
    <row r="740" spans="1:10" x14ac:dyDescent="0.2">
      <c r="A740" s="2"/>
      <c r="B740" s="2"/>
      <c r="C740" s="2"/>
      <c r="D740" s="2"/>
      <c r="E740" s="2"/>
      <c r="F740" s="2"/>
      <c r="G740" s="2"/>
      <c r="H740" s="2"/>
      <c r="I740" s="2"/>
      <c r="J740" s="2"/>
    </row>
    <row r="741" spans="1:10" x14ac:dyDescent="0.2">
      <c r="A741" s="2"/>
      <c r="B741" s="2"/>
      <c r="C741" s="2"/>
      <c r="D741" s="2"/>
      <c r="E741" s="2"/>
      <c r="F741" s="2"/>
      <c r="G741" s="2"/>
      <c r="H741" s="2"/>
      <c r="I741" s="2"/>
      <c r="J741" s="2"/>
    </row>
    <row r="742" spans="1:10" x14ac:dyDescent="0.2">
      <c r="A742" s="2"/>
      <c r="B742" s="2"/>
      <c r="C742" s="2"/>
      <c r="D742" s="2"/>
      <c r="E742" s="2"/>
      <c r="F742" s="2"/>
      <c r="G742" s="2"/>
      <c r="H742" s="2"/>
      <c r="I742" s="2"/>
      <c r="J742" s="2"/>
    </row>
    <row r="743" spans="1:10" x14ac:dyDescent="0.2">
      <c r="A743" s="2"/>
      <c r="B743" s="2"/>
      <c r="C743" s="2"/>
      <c r="D743" s="2"/>
      <c r="E743" s="2"/>
      <c r="F743" s="2"/>
      <c r="G743" s="2"/>
      <c r="H743" s="2"/>
      <c r="I743" s="2"/>
      <c r="J743" s="2"/>
    </row>
    <row r="744" spans="1:10" x14ac:dyDescent="0.2">
      <c r="A744" s="2"/>
      <c r="B744" s="2"/>
      <c r="C744" s="2"/>
      <c r="D744" s="2"/>
      <c r="E744" s="2"/>
      <c r="F744" s="2"/>
      <c r="G744" s="2"/>
      <c r="H744" s="2"/>
      <c r="I744" s="2"/>
      <c r="J744" s="2"/>
    </row>
    <row r="745" spans="1:10" x14ac:dyDescent="0.2">
      <c r="A745" s="2"/>
      <c r="B745" s="2"/>
      <c r="C745" s="2"/>
      <c r="D745" s="2"/>
      <c r="E745" s="2"/>
      <c r="F745" s="2"/>
      <c r="G745" s="2"/>
      <c r="H745" s="2"/>
      <c r="I745" s="2"/>
      <c r="J745" s="2"/>
    </row>
    <row r="746" spans="1:10" x14ac:dyDescent="0.2">
      <c r="A746" s="2"/>
      <c r="B746" s="2"/>
      <c r="C746" s="2"/>
      <c r="D746" s="2"/>
      <c r="E746" s="2"/>
      <c r="F746" s="2"/>
      <c r="G746" s="2"/>
      <c r="H746" s="2"/>
      <c r="I746" s="2"/>
      <c r="J746" s="2"/>
    </row>
    <row r="747" spans="1:10" x14ac:dyDescent="0.2">
      <c r="A747" s="2"/>
      <c r="B747" s="2"/>
      <c r="C747" s="2"/>
      <c r="D747" s="2"/>
      <c r="E747" s="2"/>
      <c r="F747" s="2"/>
      <c r="G747" s="2"/>
      <c r="H747" s="2"/>
      <c r="I747" s="2"/>
      <c r="J747" s="2"/>
    </row>
    <row r="748" spans="1:10" x14ac:dyDescent="0.2">
      <c r="A748" s="2"/>
      <c r="B748" s="2"/>
      <c r="C748" s="2"/>
      <c r="D748" s="2"/>
      <c r="E748" s="2"/>
      <c r="F748" s="2"/>
      <c r="G748" s="2"/>
      <c r="H748" s="2"/>
      <c r="I748" s="2"/>
      <c r="J748" s="2"/>
    </row>
    <row r="749" spans="1:10" x14ac:dyDescent="0.2">
      <c r="A749" s="2"/>
      <c r="B749" s="2"/>
      <c r="C749" s="2"/>
      <c r="D749" s="2"/>
      <c r="E749" s="2"/>
      <c r="F749" s="2"/>
      <c r="G749" s="2"/>
      <c r="H749" s="2"/>
      <c r="I749" s="2"/>
      <c r="J749" s="2"/>
    </row>
    <row r="750" spans="1:10" x14ac:dyDescent="0.2">
      <c r="A750" s="2"/>
      <c r="B750" s="2"/>
      <c r="C750" s="2"/>
      <c r="D750" s="2"/>
      <c r="E750" s="2"/>
      <c r="F750" s="2"/>
      <c r="G750" s="2"/>
      <c r="H750" s="2"/>
      <c r="I750" s="2"/>
      <c r="J750" s="2"/>
    </row>
    <row r="751" spans="1:10" x14ac:dyDescent="0.2">
      <c r="A751" s="2"/>
      <c r="B751" s="2"/>
      <c r="C751" s="2"/>
      <c r="D751" s="2"/>
      <c r="E751" s="2"/>
      <c r="F751" s="2"/>
      <c r="G751" s="2"/>
      <c r="H751" s="2"/>
      <c r="I751" s="2"/>
      <c r="J751" s="2"/>
    </row>
    <row r="752" spans="1:10" x14ac:dyDescent="0.2">
      <c r="A752" s="2"/>
      <c r="B752" s="2"/>
      <c r="C752" s="2"/>
      <c r="D752" s="2"/>
      <c r="E752" s="2"/>
      <c r="F752" s="2"/>
      <c r="G752" s="2"/>
      <c r="H752" s="2"/>
      <c r="I752" s="2"/>
      <c r="J752" s="2"/>
    </row>
    <row r="753" spans="1:10" x14ac:dyDescent="0.2">
      <c r="A753" s="2"/>
      <c r="B753" s="2"/>
      <c r="C753" s="2"/>
      <c r="D753" s="2"/>
      <c r="E753" s="2"/>
      <c r="F753" s="2"/>
      <c r="G753" s="2"/>
      <c r="H753" s="2"/>
      <c r="I753" s="2"/>
      <c r="J753" s="2"/>
    </row>
    <row r="754" spans="1:10" x14ac:dyDescent="0.2">
      <c r="A754" s="2"/>
      <c r="B754" s="2"/>
      <c r="C754" s="2"/>
      <c r="D754" s="2"/>
      <c r="E754" s="2"/>
      <c r="F754" s="2"/>
      <c r="G754" s="2"/>
      <c r="H754" s="2"/>
      <c r="I754" s="2"/>
      <c r="J754" s="2"/>
    </row>
    <row r="755" spans="1:10" x14ac:dyDescent="0.2">
      <c r="A755" s="2"/>
      <c r="B755" s="2"/>
      <c r="C755" s="2"/>
      <c r="D755" s="2"/>
      <c r="E755" s="2"/>
      <c r="F755" s="2"/>
      <c r="G755" s="2"/>
      <c r="H755" s="2"/>
      <c r="I755" s="2"/>
      <c r="J755" s="2"/>
    </row>
    <row r="756" spans="1:10" x14ac:dyDescent="0.2">
      <c r="A756" s="2"/>
      <c r="B756" s="2"/>
      <c r="C756" s="2"/>
      <c r="D756" s="2"/>
      <c r="E756" s="2"/>
      <c r="F756" s="2"/>
      <c r="G756" s="2"/>
      <c r="H756" s="2"/>
      <c r="I756" s="2"/>
      <c r="J756" s="2"/>
    </row>
    <row r="757" spans="1:10" x14ac:dyDescent="0.2">
      <c r="A757" s="2"/>
      <c r="B757" s="2"/>
      <c r="C757" s="2"/>
      <c r="D757" s="2"/>
      <c r="E757" s="2"/>
      <c r="F757" s="2"/>
      <c r="G757" s="2"/>
      <c r="H757" s="2"/>
      <c r="I757" s="2"/>
      <c r="J757" s="2"/>
    </row>
    <row r="758" spans="1:10" x14ac:dyDescent="0.2">
      <c r="A758" s="2"/>
      <c r="B758" s="2"/>
      <c r="C758" s="2"/>
      <c r="D758" s="2"/>
      <c r="E758" s="2"/>
      <c r="F758" s="2"/>
      <c r="G758" s="2"/>
      <c r="H758" s="2"/>
      <c r="I758" s="2"/>
      <c r="J758" s="2"/>
    </row>
    <row r="759" spans="1:10" x14ac:dyDescent="0.2">
      <c r="A759" s="2"/>
      <c r="B759" s="2"/>
      <c r="C759" s="2"/>
      <c r="D759" s="2"/>
      <c r="E759" s="2"/>
      <c r="F759" s="2"/>
      <c r="G759" s="2"/>
      <c r="H759" s="2"/>
      <c r="I759" s="2"/>
      <c r="J759" s="2"/>
    </row>
    <row r="760" spans="1:10" x14ac:dyDescent="0.2">
      <c r="A760" s="2"/>
      <c r="B760" s="2"/>
      <c r="C760" s="2"/>
      <c r="D760" s="2"/>
      <c r="E760" s="2"/>
      <c r="F760" s="2"/>
      <c r="G760" s="2"/>
      <c r="H760" s="2"/>
      <c r="I760" s="2"/>
      <c r="J760" s="2"/>
    </row>
    <row r="761" spans="1:10" x14ac:dyDescent="0.2">
      <c r="A761" s="2"/>
      <c r="B761" s="2"/>
      <c r="C761" s="2"/>
      <c r="D761" s="2"/>
      <c r="E761" s="2"/>
      <c r="F761" s="2"/>
      <c r="G761" s="2"/>
      <c r="H761" s="2"/>
      <c r="I761" s="2"/>
      <c r="J761" s="2"/>
    </row>
    <row r="762" spans="1:10" x14ac:dyDescent="0.2">
      <c r="A762" s="2"/>
      <c r="B762" s="2"/>
      <c r="C762" s="2"/>
      <c r="D762" s="2"/>
      <c r="E762" s="2"/>
      <c r="F762" s="2"/>
      <c r="G762" s="2"/>
      <c r="H762" s="2"/>
      <c r="I762" s="2"/>
      <c r="J762" s="2"/>
    </row>
    <row r="763" spans="1:10" x14ac:dyDescent="0.2">
      <c r="A763" s="2"/>
      <c r="B763" s="2"/>
      <c r="C763" s="2"/>
      <c r="D763" s="2"/>
      <c r="E763" s="2"/>
      <c r="F763" s="2"/>
      <c r="G763" s="2"/>
      <c r="H763" s="2"/>
      <c r="I763" s="2"/>
      <c r="J763" s="2"/>
    </row>
    <row r="764" spans="1:10" x14ac:dyDescent="0.2">
      <c r="A764" s="2"/>
      <c r="B764" s="2"/>
      <c r="C764" s="2"/>
      <c r="D764" s="2"/>
      <c r="E764" s="2"/>
      <c r="F764" s="2"/>
      <c r="G764" s="2"/>
      <c r="H764" s="2"/>
      <c r="I764" s="2"/>
      <c r="J764" s="2"/>
    </row>
    <row r="765" spans="1:10" x14ac:dyDescent="0.2">
      <c r="A765" s="2"/>
      <c r="B765" s="2"/>
      <c r="C765" s="2"/>
      <c r="D765" s="2"/>
      <c r="E765" s="2"/>
      <c r="F765" s="2"/>
      <c r="G765" s="2"/>
      <c r="H765" s="2"/>
      <c r="I765" s="2"/>
      <c r="J765" s="2"/>
    </row>
    <row r="766" spans="1:10" x14ac:dyDescent="0.2">
      <c r="A766" s="2"/>
      <c r="B766" s="2"/>
      <c r="C766" s="2"/>
      <c r="D766" s="2"/>
      <c r="E766" s="2"/>
      <c r="F766" s="2"/>
      <c r="G766" s="2"/>
      <c r="H766" s="2"/>
      <c r="I766" s="2"/>
      <c r="J766" s="2"/>
    </row>
    <row r="767" spans="1:10" x14ac:dyDescent="0.2">
      <c r="A767" s="2"/>
      <c r="B767" s="2"/>
      <c r="C767" s="2"/>
      <c r="D767" s="2"/>
      <c r="E767" s="2"/>
      <c r="F767" s="2"/>
      <c r="G767" s="2"/>
      <c r="H767" s="2"/>
      <c r="I767" s="2"/>
      <c r="J767" s="2"/>
    </row>
    <row r="768" spans="1:10" x14ac:dyDescent="0.2">
      <c r="A768" s="2"/>
      <c r="B768" s="2"/>
      <c r="C768" s="2"/>
      <c r="D768" s="2"/>
      <c r="E768" s="2"/>
      <c r="F768" s="2"/>
      <c r="G768" s="2"/>
      <c r="H768" s="2"/>
      <c r="I768" s="2"/>
      <c r="J768" s="2"/>
    </row>
    <row r="769" spans="1:10" x14ac:dyDescent="0.2">
      <c r="A769" s="2"/>
      <c r="B769" s="2"/>
      <c r="C769" s="2"/>
      <c r="D769" s="2"/>
      <c r="E769" s="2"/>
      <c r="F769" s="2"/>
      <c r="G769" s="2"/>
      <c r="H769" s="2"/>
      <c r="I769" s="2"/>
      <c r="J769" s="2"/>
    </row>
    <row r="770" spans="1:10" x14ac:dyDescent="0.2">
      <c r="A770" s="2"/>
      <c r="B770" s="2"/>
      <c r="C770" s="2"/>
      <c r="D770" s="2"/>
      <c r="E770" s="2"/>
      <c r="F770" s="2"/>
      <c r="G770" s="2"/>
      <c r="H770" s="2"/>
      <c r="I770" s="2"/>
      <c r="J770" s="2"/>
    </row>
    <row r="771" spans="1:10" x14ac:dyDescent="0.2">
      <c r="A771" s="2"/>
      <c r="B771" s="2"/>
      <c r="C771" s="2"/>
      <c r="D771" s="2"/>
      <c r="E771" s="2"/>
      <c r="F771" s="2"/>
      <c r="G771" s="2"/>
      <c r="H771" s="2"/>
      <c r="I771" s="2"/>
      <c r="J771" s="2"/>
    </row>
    <row r="772" spans="1:10" x14ac:dyDescent="0.2">
      <c r="A772" s="2"/>
      <c r="B772" s="2"/>
      <c r="C772" s="2"/>
      <c r="D772" s="2"/>
      <c r="E772" s="2"/>
      <c r="F772" s="2"/>
      <c r="G772" s="2"/>
      <c r="H772" s="2"/>
      <c r="I772" s="2"/>
      <c r="J772" s="2"/>
    </row>
    <row r="773" spans="1:10" x14ac:dyDescent="0.2">
      <c r="A773" s="2"/>
      <c r="B773" s="2"/>
      <c r="C773" s="2"/>
      <c r="D773" s="2"/>
      <c r="E773" s="2"/>
      <c r="F773" s="2"/>
      <c r="G773" s="2"/>
      <c r="H773" s="2"/>
      <c r="I773" s="2"/>
      <c r="J773" s="2"/>
    </row>
    <row r="774" spans="1:10" x14ac:dyDescent="0.2">
      <c r="A774" s="2"/>
      <c r="B774" s="2"/>
      <c r="C774" s="2"/>
      <c r="D774" s="2"/>
      <c r="E774" s="2"/>
      <c r="F774" s="2"/>
      <c r="G774" s="2"/>
      <c r="H774" s="2"/>
      <c r="I774" s="2"/>
      <c r="J774" s="2"/>
    </row>
    <row r="775" spans="1:10" x14ac:dyDescent="0.2">
      <c r="A775" s="2"/>
      <c r="B775" s="2"/>
      <c r="C775" s="2"/>
      <c r="D775" s="2"/>
      <c r="E775" s="2"/>
      <c r="F775" s="2"/>
      <c r="G775" s="2"/>
      <c r="H775" s="2"/>
      <c r="I775" s="2"/>
      <c r="J775" s="2"/>
    </row>
    <row r="776" spans="1:10" x14ac:dyDescent="0.2">
      <c r="A776" s="2"/>
      <c r="B776" s="2"/>
      <c r="C776" s="2"/>
      <c r="D776" s="2"/>
      <c r="E776" s="2"/>
      <c r="F776" s="2"/>
      <c r="G776" s="2"/>
      <c r="H776" s="2"/>
      <c r="I776" s="2"/>
      <c r="J776" s="2"/>
    </row>
    <row r="777" spans="1:10" x14ac:dyDescent="0.2">
      <c r="A777" s="2"/>
      <c r="B777" s="2"/>
      <c r="C777" s="2"/>
      <c r="D777" s="2"/>
      <c r="E777" s="2"/>
      <c r="F777" s="2"/>
      <c r="G777" s="2"/>
      <c r="H777" s="2"/>
      <c r="I777" s="2"/>
      <c r="J777" s="2"/>
    </row>
    <row r="778" spans="1:10" x14ac:dyDescent="0.2">
      <c r="A778" s="2"/>
      <c r="B778" s="2"/>
      <c r="C778" s="2"/>
      <c r="D778" s="2"/>
      <c r="E778" s="2"/>
      <c r="F778" s="2"/>
      <c r="G778" s="2"/>
      <c r="H778" s="2"/>
      <c r="I778" s="2"/>
      <c r="J778" s="2"/>
    </row>
    <row r="779" spans="1:10" x14ac:dyDescent="0.2">
      <c r="A779" s="2"/>
      <c r="B779" s="2"/>
      <c r="C779" s="2"/>
      <c r="D779" s="2"/>
      <c r="E779" s="2"/>
      <c r="F779" s="2"/>
      <c r="G779" s="2"/>
      <c r="H779" s="2"/>
      <c r="I779" s="2"/>
      <c r="J779" s="2"/>
    </row>
    <row r="780" spans="1:10" x14ac:dyDescent="0.2">
      <c r="A780" s="2"/>
      <c r="B780" s="2"/>
      <c r="C780" s="2"/>
      <c r="D780" s="2"/>
      <c r="E780" s="2"/>
      <c r="F780" s="2"/>
      <c r="G780" s="2"/>
      <c r="H780" s="2"/>
      <c r="I780" s="2"/>
      <c r="J780" s="2"/>
    </row>
    <row r="781" spans="1:10" x14ac:dyDescent="0.2">
      <c r="A781" s="2"/>
      <c r="B781" s="2"/>
      <c r="C781" s="2"/>
      <c r="D781" s="2"/>
      <c r="E781" s="2"/>
      <c r="F781" s="2"/>
      <c r="G781" s="2"/>
      <c r="H781" s="2"/>
      <c r="I781" s="2"/>
      <c r="J781" s="2"/>
    </row>
    <row r="782" spans="1:10" x14ac:dyDescent="0.2">
      <c r="A782" s="2"/>
      <c r="B782" s="2"/>
      <c r="C782" s="2"/>
      <c r="D782" s="2"/>
      <c r="E782" s="2"/>
      <c r="F782" s="2"/>
      <c r="G782" s="2"/>
      <c r="H782" s="2"/>
      <c r="I782" s="2"/>
      <c r="J782" s="2"/>
    </row>
    <row r="783" spans="1:10" x14ac:dyDescent="0.2">
      <c r="A783" s="2"/>
      <c r="B783" s="2"/>
      <c r="C783" s="2"/>
      <c r="D783" s="2"/>
      <c r="E783" s="2"/>
      <c r="F783" s="2"/>
      <c r="G783" s="2"/>
      <c r="H783" s="2"/>
      <c r="I783" s="2"/>
      <c r="J783" s="2"/>
    </row>
    <row r="784" spans="1:10" x14ac:dyDescent="0.2">
      <c r="A784" s="2"/>
      <c r="B784" s="2"/>
      <c r="C784" s="2"/>
      <c r="D784" s="2"/>
      <c r="E784" s="2"/>
      <c r="F784" s="2"/>
      <c r="G784" s="2"/>
      <c r="H784" s="2"/>
      <c r="I784" s="2"/>
      <c r="J784" s="2"/>
    </row>
    <row r="785" spans="1:10" x14ac:dyDescent="0.2">
      <c r="A785" s="2"/>
      <c r="B785" s="2"/>
      <c r="C785" s="2"/>
      <c r="D785" s="2"/>
      <c r="E785" s="2"/>
      <c r="F785" s="2"/>
      <c r="G785" s="2"/>
      <c r="H785" s="2"/>
      <c r="I785" s="2"/>
      <c r="J785" s="2"/>
    </row>
    <row r="786" spans="1:10" x14ac:dyDescent="0.2">
      <c r="A786" s="2"/>
      <c r="B786" s="2"/>
      <c r="C786" s="2"/>
      <c r="D786" s="2"/>
      <c r="E786" s="2"/>
      <c r="F786" s="2"/>
      <c r="G786" s="2"/>
      <c r="H786" s="2"/>
      <c r="I786" s="2"/>
      <c r="J786" s="2"/>
    </row>
    <row r="787" spans="1:10" x14ac:dyDescent="0.2">
      <c r="A787" s="2"/>
      <c r="B787" s="2"/>
      <c r="C787" s="2"/>
      <c r="D787" s="2"/>
      <c r="E787" s="2"/>
      <c r="F787" s="2"/>
      <c r="G787" s="2"/>
      <c r="H787" s="2"/>
      <c r="I787" s="2"/>
      <c r="J787" s="2"/>
    </row>
    <row r="788" spans="1:10" x14ac:dyDescent="0.2">
      <c r="A788" s="2"/>
      <c r="B788" s="2"/>
      <c r="C788" s="2"/>
      <c r="D788" s="2"/>
      <c r="E788" s="2"/>
      <c r="F788" s="2"/>
      <c r="G788" s="2"/>
      <c r="H788" s="2"/>
      <c r="I788" s="2"/>
      <c r="J788" s="2"/>
    </row>
    <row r="789" spans="1:10" x14ac:dyDescent="0.2">
      <c r="A789" s="2"/>
      <c r="B789" s="2"/>
      <c r="C789" s="2"/>
      <c r="D789" s="2"/>
      <c r="E789" s="2"/>
      <c r="F789" s="2"/>
      <c r="G789" s="2"/>
      <c r="H789" s="2"/>
      <c r="I789" s="2"/>
      <c r="J789" s="2"/>
    </row>
    <row r="790" spans="1:10" x14ac:dyDescent="0.2">
      <c r="A790" s="2"/>
      <c r="B790" s="2"/>
      <c r="C790" s="2"/>
      <c r="D790" s="2"/>
      <c r="E790" s="2"/>
      <c r="F790" s="2"/>
      <c r="G790" s="2"/>
      <c r="H790" s="2"/>
      <c r="I790" s="2"/>
      <c r="J790" s="2"/>
    </row>
    <row r="791" spans="1:10" x14ac:dyDescent="0.2">
      <c r="A791" s="2"/>
      <c r="B791" s="2"/>
      <c r="C791" s="2"/>
      <c r="D791" s="2"/>
      <c r="E791" s="2"/>
      <c r="F791" s="2"/>
      <c r="G791" s="2"/>
      <c r="H791" s="2"/>
      <c r="I791" s="2"/>
      <c r="J791" s="2"/>
    </row>
    <row r="792" spans="1:10" x14ac:dyDescent="0.2">
      <c r="A792" s="2"/>
      <c r="B792" s="2"/>
      <c r="C792" s="2"/>
      <c r="D792" s="2"/>
      <c r="E792" s="2"/>
      <c r="F792" s="2"/>
      <c r="G792" s="2"/>
      <c r="H792" s="2"/>
      <c r="I792" s="2"/>
      <c r="J792" s="2"/>
    </row>
    <row r="793" spans="1:10" x14ac:dyDescent="0.2">
      <c r="A793" s="2"/>
      <c r="B793" s="2"/>
      <c r="C793" s="2"/>
      <c r="D793" s="2"/>
      <c r="E793" s="2"/>
      <c r="F793" s="2"/>
      <c r="G793" s="2"/>
      <c r="H793" s="2"/>
      <c r="I793" s="2"/>
      <c r="J793" s="2"/>
    </row>
    <row r="794" spans="1:10" x14ac:dyDescent="0.2">
      <c r="A794" s="2"/>
      <c r="B794" s="2"/>
      <c r="C794" s="2"/>
      <c r="D794" s="2"/>
      <c r="E794" s="2"/>
      <c r="F794" s="2"/>
      <c r="G794" s="2"/>
      <c r="H794" s="2"/>
      <c r="I794" s="2"/>
      <c r="J794" s="2"/>
    </row>
    <row r="795" spans="1:10" x14ac:dyDescent="0.2">
      <c r="A795" s="2"/>
      <c r="B795" s="2"/>
      <c r="C795" s="2"/>
      <c r="D795" s="2"/>
      <c r="E795" s="2"/>
      <c r="F795" s="2"/>
      <c r="G795" s="2"/>
      <c r="H795" s="2"/>
      <c r="I795" s="2"/>
      <c r="J795" s="2"/>
    </row>
    <row r="796" spans="1:10" x14ac:dyDescent="0.2">
      <c r="A796" s="2"/>
      <c r="B796" s="2"/>
      <c r="C796" s="2"/>
      <c r="D796" s="2"/>
      <c r="E796" s="2"/>
      <c r="F796" s="2"/>
      <c r="G796" s="2"/>
      <c r="H796" s="2"/>
      <c r="I796" s="2"/>
      <c r="J796" s="2"/>
    </row>
    <row r="797" spans="1:10" x14ac:dyDescent="0.2">
      <c r="A797" s="2"/>
      <c r="B797" s="2"/>
      <c r="C797" s="2"/>
      <c r="D797" s="2"/>
      <c r="E797" s="2"/>
      <c r="F797" s="2"/>
      <c r="G797" s="2"/>
      <c r="H797" s="2"/>
      <c r="I797" s="2"/>
      <c r="J797" s="2"/>
    </row>
    <row r="798" spans="1:10" x14ac:dyDescent="0.2">
      <c r="A798" s="2"/>
      <c r="B798" s="2"/>
      <c r="C798" s="2"/>
      <c r="D798" s="2"/>
      <c r="E798" s="2"/>
      <c r="F798" s="2"/>
      <c r="G798" s="2"/>
      <c r="H798" s="2"/>
      <c r="I798" s="2"/>
      <c r="J798" s="2"/>
    </row>
    <row r="799" spans="1:10" x14ac:dyDescent="0.2">
      <c r="A799" s="2"/>
      <c r="B799" s="2"/>
      <c r="C799" s="2"/>
      <c r="D799" s="2"/>
      <c r="E799" s="2"/>
      <c r="F799" s="2"/>
      <c r="G799" s="2"/>
      <c r="H799" s="2"/>
      <c r="I799" s="2"/>
      <c r="J799" s="2"/>
    </row>
    <row r="800" spans="1:10" x14ac:dyDescent="0.2">
      <c r="A800" s="2"/>
      <c r="B800" s="2"/>
      <c r="C800" s="2"/>
      <c r="D800" s="2"/>
      <c r="E800" s="2"/>
      <c r="F800" s="2"/>
      <c r="G800" s="2"/>
      <c r="H800" s="2"/>
      <c r="I800" s="2"/>
      <c r="J800" s="2"/>
    </row>
    <row r="801" spans="1:10" x14ac:dyDescent="0.2">
      <c r="A801" s="2"/>
      <c r="B801" s="2"/>
      <c r="C801" s="2"/>
      <c r="D801" s="2"/>
      <c r="E801" s="2"/>
      <c r="F801" s="2"/>
      <c r="G801" s="2"/>
      <c r="H801" s="2"/>
      <c r="I801" s="2"/>
      <c r="J801" s="2"/>
    </row>
    <row r="802" spans="1:10" x14ac:dyDescent="0.2">
      <c r="A802" s="2"/>
      <c r="B802" s="2"/>
      <c r="C802" s="2"/>
      <c r="D802" s="2"/>
      <c r="E802" s="2"/>
      <c r="F802" s="2"/>
      <c r="G802" s="2"/>
      <c r="H802" s="2"/>
      <c r="I802" s="2"/>
      <c r="J802" s="2"/>
    </row>
    <row r="803" spans="1:10" x14ac:dyDescent="0.2">
      <c r="A803" s="2"/>
      <c r="B803" s="2"/>
      <c r="C803" s="2"/>
      <c r="D803" s="2"/>
      <c r="E803" s="2"/>
      <c r="F803" s="2"/>
      <c r="G803" s="2"/>
      <c r="H803" s="2"/>
      <c r="I803" s="2"/>
      <c r="J803" s="2"/>
    </row>
    <row r="804" spans="1:10" x14ac:dyDescent="0.2">
      <c r="A804" s="2"/>
      <c r="B804" s="2"/>
      <c r="C804" s="2"/>
      <c r="D804" s="2"/>
      <c r="E804" s="2"/>
      <c r="F804" s="2"/>
      <c r="G804" s="2"/>
      <c r="H804" s="2"/>
      <c r="I804" s="2"/>
      <c r="J804" s="2"/>
    </row>
    <row r="805" spans="1:10" x14ac:dyDescent="0.2">
      <c r="A805" s="2"/>
      <c r="B805" s="2"/>
      <c r="C805" s="2"/>
      <c r="D805" s="2"/>
      <c r="E805" s="2"/>
      <c r="F805" s="2"/>
      <c r="G805" s="2"/>
      <c r="H805" s="2"/>
      <c r="I805" s="2"/>
      <c r="J805" s="2"/>
    </row>
    <row r="806" spans="1:10" x14ac:dyDescent="0.2">
      <c r="A806" s="2"/>
      <c r="B806" s="2"/>
      <c r="C806" s="2"/>
      <c r="D806" s="2"/>
      <c r="E806" s="2"/>
      <c r="F806" s="2"/>
      <c r="G806" s="2"/>
      <c r="H806" s="2"/>
      <c r="I806" s="2"/>
      <c r="J806" s="2"/>
    </row>
    <row r="807" spans="1:10" x14ac:dyDescent="0.2">
      <c r="A807" s="2"/>
      <c r="B807" s="2"/>
      <c r="C807" s="2"/>
      <c r="D807" s="2"/>
      <c r="E807" s="2"/>
      <c r="F807" s="2"/>
      <c r="G807" s="2"/>
      <c r="H807" s="2"/>
      <c r="I807" s="2"/>
      <c r="J807" s="2"/>
    </row>
    <row r="808" spans="1:10" x14ac:dyDescent="0.2">
      <c r="A808" s="2"/>
      <c r="B808" s="2"/>
      <c r="C808" s="2"/>
      <c r="D808" s="2"/>
      <c r="E808" s="2"/>
      <c r="F808" s="2"/>
      <c r="G808" s="2"/>
      <c r="H808" s="2"/>
      <c r="I808" s="2"/>
      <c r="J808" s="2"/>
    </row>
    <row r="809" spans="1:10" x14ac:dyDescent="0.2">
      <c r="A809" s="2"/>
      <c r="B809" s="2"/>
      <c r="C809" s="2"/>
      <c r="D809" s="2"/>
      <c r="E809" s="2"/>
      <c r="F809" s="2"/>
      <c r="G809" s="2"/>
      <c r="H809" s="2"/>
      <c r="I809" s="2"/>
      <c r="J809" s="2"/>
    </row>
    <row r="810" spans="1:10" x14ac:dyDescent="0.2">
      <c r="A810" s="2"/>
      <c r="B810" s="2"/>
      <c r="C810" s="2"/>
      <c r="D810" s="2"/>
      <c r="E810" s="2"/>
      <c r="F810" s="2"/>
      <c r="G810" s="2"/>
      <c r="H810" s="2"/>
      <c r="I810" s="2"/>
      <c r="J810" s="2"/>
    </row>
    <row r="811" spans="1:10" x14ac:dyDescent="0.2">
      <c r="A811" s="2"/>
      <c r="B811" s="2"/>
      <c r="C811" s="2"/>
      <c r="D811" s="2"/>
      <c r="E811" s="2"/>
      <c r="F811" s="2"/>
      <c r="G811" s="2"/>
      <c r="H811" s="2"/>
      <c r="I811" s="2"/>
      <c r="J811" s="2"/>
    </row>
    <row r="812" spans="1:10" x14ac:dyDescent="0.2">
      <c r="A812" s="2"/>
      <c r="B812" s="2"/>
      <c r="C812" s="2"/>
      <c r="D812" s="2"/>
      <c r="E812" s="2"/>
      <c r="F812" s="2"/>
      <c r="G812" s="2"/>
      <c r="H812" s="2"/>
      <c r="I812" s="2"/>
      <c r="J812" s="2"/>
    </row>
    <row r="813" spans="1:10" x14ac:dyDescent="0.2">
      <c r="A813" s="2"/>
      <c r="B813" s="2"/>
      <c r="C813" s="2"/>
      <c r="D813" s="2"/>
      <c r="E813" s="2"/>
      <c r="F813" s="2"/>
      <c r="G813" s="2"/>
      <c r="H813" s="2"/>
      <c r="I813" s="2"/>
      <c r="J813" s="2"/>
    </row>
    <row r="814" spans="1:10" x14ac:dyDescent="0.2">
      <c r="A814" s="2"/>
      <c r="B814" s="2"/>
      <c r="C814" s="2"/>
      <c r="D814" s="2"/>
      <c r="E814" s="2"/>
      <c r="F814" s="2"/>
      <c r="G814" s="2"/>
      <c r="H814" s="2"/>
      <c r="I814" s="2"/>
      <c r="J814" s="2"/>
    </row>
    <row r="815" spans="1:10" x14ac:dyDescent="0.2">
      <c r="A815" s="2"/>
      <c r="B815" s="2"/>
      <c r="C815" s="2"/>
      <c r="D815" s="2"/>
      <c r="E815" s="2"/>
      <c r="F815" s="2"/>
      <c r="G815" s="2"/>
      <c r="H815" s="2"/>
      <c r="I815" s="2"/>
      <c r="J815" s="2"/>
    </row>
    <row r="816" spans="1:10" x14ac:dyDescent="0.2">
      <c r="A816" s="2"/>
      <c r="B816" s="2"/>
      <c r="C816" s="2"/>
      <c r="D816" s="2"/>
      <c r="E816" s="2"/>
      <c r="F816" s="2"/>
      <c r="G816" s="2"/>
      <c r="H816" s="2"/>
      <c r="I816" s="2"/>
      <c r="J816" s="2"/>
    </row>
    <row r="817" spans="1:10" x14ac:dyDescent="0.2">
      <c r="A817" s="2"/>
      <c r="B817" s="2"/>
      <c r="C817" s="2"/>
      <c r="D817" s="2"/>
      <c r="E817" s="2"/>
      <c r="F817" s="2"/>
      <c r="G817" s="2"/>
      <c r="H817" s="2"/>
      <c r="I817" s="2"/>
      <c r="J817" s="2"/>
    </row>
    <row r="818" spans="1:10" x14ac:dyDescent="0.2">
      <c r="A818" s="2"/>
      <c r="B818" s="2"/>
      <c r="C818" s="2"/>
      <c r="D818" s="2"/>
      <c r="E818" s="2"/>
      <c r="F818" s="2"/>
      <c r="G818" s="2"/>
      <c r="H818" s="2"/>
      <c r="I818" s="2"/>
      <c r="J818" s="2"/>
    </row>
    <row r="819" spans="1:10" x14ac:dyDescent="0.2">
      <c r="A819" s="2"/>
      <c r="B819" s="2"/>
      <c r="C819" s="2"/>
      <c r="D819" s="2"/>
      <c r="E819" s="2"/>
      <c r="F819" s="2"/>
      <c r="G819" s="2"/>
      <c r="H819" s="2"/>
      <c r="I819" s="2"/>
      <c r="J819" s="2"/>
    </row>
    <row r="820" spans="1:10" x14ac:dyDescent="0.2">
      <c r="A820" s="2"/>
      <c r="B820" s="2"/>
      <c r="C820" s="2"/>
      <c r="D820" s="2"/>
      <c r="E820" s="2"/>
      <c r="F820" s="2"/>
      <c r="G820" s="2"/>
      <c r="H820" s="2"/>
      <c r="I820" s="2"/>
      <c r="J820" s="2"/>
    </row>
    <row r="821" spans="1:10" x14ac:dyDescent="0.2">
      <c r="A821" s="2"/>
      <c r="B821" s="2"/>
      <c r="C821" s="2"/>
      <c r="D821" s="2"/>
      <c r="E821" s="2"/>
      <c r="F821" s="2"/>
      <c r="G821" s="2"/>
      <c r="H821" s="2"/>
      <c r="I821" s="2"/>
      <c r="J821" s="2"/>
    </row>
    <row r="822" spans="1:10" x14ac:dyDescent="0.2">
      <c r="A822" s="2"/>
      <c r="B822" s="2"/>
      <c r="C822" s="2"/>
      <c r="D822" s="2"/>
      <c r="E822" s="2"/>
      <c r="F822" s="2"/>
      <c r="G822" s="2"/>
      <c r="H822" s="2"/>
      <c r="I822" s="2"/>
      <c r="J822" s="2"/>
    </row>
    <row r="823" spans="1:10" x14ac:dyDescent="0.2">
      <c r="A823" s="2"/>
      <c r="B823" s="2"/>
      <c r="C823" s="2"/>
      <c r="D823" s="2"/>
      <c r="E823" s="2"/>
      <c r="F823" s="2"/>
      <c r="G823" s="2"/>
      <c r="H823" s="2"/>
      <c r="I823" s="2"/>
      <c r="J823" s="2"/>
    </row>
    <row r="824" spans="1:10" x14ac:dyDescent="0.2">
      <c r="A824" s="2"/>
      <c r="B824" s="2"/>
      <c r="C824" s="2"/>
      <c r="D824" s="2"/>
      <c r="E824" s="2"/>
      <c r="F824" s="2"/>
      <c r="G824" s="2"/>
      <c r="H824" s="2"/>
      <c r="I824" s="2"/>
      <c r="J824" s="2"/>
    </row>
    <row r="825" spans="1:10" x14ac:dyDescent="0.2">
      <c r="A825" s="2"/>
      <c r="B825" s="2"/>
      <c r="C825" s="2"/>
      <c r="D825" s="2"/>
      <c r="E825" s="2"/>
      <c r="F825" s="2"/>
      <c r="G825" s="2"/>
      <c r="H825" s="2"/>
      <c r="I825" s="2"/>
      <c r="J825" s="2"/>
    </row>
    <row r="826" spans="1:10" x14ac:dyDescent="0.2">
      <c r="A826" s="2"/>
      <c r="B826" s="2"/>
      <c r="C826" s="2"/>
      <c r="D826" s="2"/>
      <c r="E826" s="2"/>
      <c r="F826" s="2"/>
      <c r="G826" s="2"/>
      <c r="H826" s="2"/>
      <c r="I826" s="2"/>
      <c r="J826" s="2"/>
    </row>
    <row r="827" spans="1:10" x14ac:dyDescent="0.2">
      <c r="A827" s="2"/>
      <c r="B827" s="2"/>
      <c r="C827" s="2"/>
      <c r="D827" s="2"/>
      <c r="E827" s="2"/>
      <c r="F827" s="2"/>
      <c r="G827" s="2"/>
      <c r="H827" s="2"/>
      <c r="I827" s="2"/>
      <c r="J827" s="2"/>
    </row>
    <row r="828" spans="1:10" x14ac:dyDescent="0.2">
      <c r="A828" s="2"/>
      <c r="B828" s="2"/>
      <c r="C828" s="2"/>
      <c r="D828" s="2"/>
      <c r="E828" s="2"/>
      <c r="F828" s="2"/>
      <c r="G828" s="2"/>
      <c r="H828" s="2"/>
      <c r="I828" s="2"/>
      <c r="J828" s="2"/>
    </row>
    <row r="829" spans="1:10" x14ac:dyDescent="0.2">
      <c r="A829" s="2"/>
      <c r="B829" s="2"/>
      <c r="C829" s="2"/>
      <c r="D829" s="2"/>
      <c r="E829" s="2"/>
      <c r="F829" s="2"/>
      <c r="G829" s="2"/>
      <c r="H829" s="2"/>
      <c r="I829" s="2"/>
      <c r="J829" s="2"/>
    </row>
    <row r="830" spans="1:10" x14ac:dyDescent="0.2">
      <c r="A830" s="2"/>
      <c r="B830" s="2"/>
      <c r="C830" s="2"/>
      <c r="D830" s="2"/>
      <c r="E830" s="2"/>
      <c r="F830" s="2"/>
      <c r="G830" s="2"/>
      <c r="H830" s="2"/>
      <c r="I830" s="2"/>
      <c r="J830" s="2"/>
    </row>
    <row r="831" spans="1:10" x14ac:dyDescent="0.2">
      <c r="A831" s="2"/>
      <c r="B831" s="2"/>
      <c r="C831" s="2"/>
      <c r="D831" s="2"/>
      <c r="E831" s="2"/>
      <c r="F831" s="2"/>
      <c r="G831" s="2"/>
      <c r="H831" s="2"/>
      <c r="I831" s="2"/>
      <c r="J831" s="2"/>
    </row>
    <row r="832" spans="1:10" x14ac:dyDescent="0.2">
      <c r="A832" s="2"/>
      <c r="B832" s="2"/>
      <c r="C832" s="2"/>
      <c r="D832" s="2"/>
      <c r="E832" s="2"/>
      <c r="F832" s="2"/>
      <c r="G832" s="2"/>
      <c r="H832" s="2"/>
      <c r="I832" s="2"/>
      <c r="J832" s="2"/>
    </row>
    <row r="833" spans="1:10" x14ac:dyDescent="0.2">
      <c r="A833" s="2"/>
      <c r="B833" s="2"/>
      <c r="C833" s="2"/>
      <c r="D833" s="2"/>
      <c r="E833" s="2"/>
      <c r="F833" s="2"/>
      <c r="G833" s="2"/>
      <c r="H833" s="2"/>
      <c r="I833" s="2"/>
      <c r="J833" s="2"/>
    </row>
    <row r="834" spans="1:10" x14ac:dyDescent="0.2">
      <c r="A834" s="2"/>
      <c r="B834" s="2"/>
      <c r="C834" s="2"/>
      <c r="D834" s="2"/>
      <c r="E834" s="2"/>
      <c r="F834" s="2"/>
      <c r="G834" s="2"/>
      <c r="H834" s="2"/>
      <c r="I834" s="2"/>
      <c r="J834" s="2"/>
    </row>
    <row r="835" spans="1:10" x14ac:dyDescent="0.2">
      <c r="A835" s="2"/>
      <c r="B835" s="2"/>
      <c r="C835" s="2"/>
      <c r="D835" s="2"/>
      <c r="E835" s="2"/>
      <c r="F835" s="2"/>
      <c r="G835" s="2"/>
      <c r="H835" s="2"/>
      <c r="I835" s="2"/>
      <c r="J835" s="2"/>
    </row>
    <row r="836" spans="1:10" x14ac:dyDescent="0.2">
      <c r="A836" s="2"/>
      <c r="B836" s="2"/>
      <c r="C836" s="2"/>
      <c r="D836" s="2"/>
      <c r="E836" s="2"/>
      <c r="F836" s="2"/>
      <c r="G836" s="2"/>
      <c r="H836" s="2"/>
      <c r="I836" s="2"/>
      <c r="J836" s="2"/>
    </row>
    <row r="837" spans="1:10" x14ac:dyDescent="0.2">
      <c r="A837" s="2"/>
      <c r="B837" s="2"/>
      <c r="C837" s="2"/>
      <c r="D837" s="2"/>
      <c r="E837" s="2"/>
      <c r="F837" s="2"/>
      <c r="G837" s="2"/>
      <c r="H837" s="2"/>
      <c r="I837" s="2"/>
      <c r="J837" s="2"/>
    </row>
    <row r="838" spans="1:10" x14ac:dyDescent="0.2">
      <c r="A838" s="2"/>
      <c r="B838" s="2"/>
      <c r="C838" s="2"/>
      <c r="D838" s="2"/>
      <c r="E838" s="2"/>
      <c r="F838" s="2"/>
      <c r="G838" s="2"/>
      <c r="H838" s="2"/>
      <c r="I838" s="2"/>
      <c r="J838" s="2"/>
    </row>
    <row r="839" spans="1:10" x14ac:dyDescent="0.2">
      <c r="A839" s="2"/>
      <c r="B839" s="2"/>
      <c r="C839" s="2"/>
      <c r="D839" s="2"/>
      <c r="E839" s="2"/>
      <c r="F839" s="2"/>
      <c r="G839" s="2"/>
      <c r="H839" s="2"/>
      <c r="I839" s="2"/>
      <c r="J839" s="2"/>
    </row>
    <row r="840" spans="1:10" x14ac:dyDescent="0.2">
      <c r="A840" s="2"/>
      <c r="B840" s="2"/>
      <c r="C840" s="2"/>
      <c r="D840" s="2"/>
      <c r="E840" s="2"/>
      <c r="F840" s="2"/>
      <c r="G840" s="2"/>
      <c r="H840" s="2"/>
      <c r="I840" s="2"/>
      <c r="J840" s="2"/>
    </row>
    <row r="841" spans="1:10" x14ac:dyDescent="0.2">
      <c r="A841" s="2"/>
      <c r="B841" s="2"/>
      <c r="C841" s="2"/>
      <c r="D841" s="2"/>
      <c r="E841" s="2"/>
      <c r="F841" s="2"/>
      <c r="G841" s="2"/>
      <c r="H841" s="2"/>
      <c r="I841" s="2"/>
      <c r="J841" s="2"/>
    </row>
    <row r="842" spans="1:10" x14ac:dyDescent="0.2">
      <c r="A842" s="2"/>
      <c r="B842" s="2"/>
      <c r="C842" s="2"/>
      <c r="D842" s="2"/>
      <c r="E842" s="2"/>
      <c r="F842" s="2"/>
      <c r="G842" s="2"/>
      <c r="H842" s="2"/>
      <c r="I842" s="2"/>
      <c r="J842" s="2"/>
    </row>
    <row r="843" spans="1:10" x14ac:dyDescent="0.2">
      <c r="A843" s="2"/>
      <c r="B843" s="2"/>
      <c r="C843" s="2"/>
      <c r="D843" s="2"/>
      <c r="E843" s="2"/>
      <c r="F843" s="2"/>
      <c r="G843" s="2"/>
      <c r="H843" s="2"/>
      <c r="I843" s="2"/>
      <c r="J843" s="2"/>
    </row>
    <row r="844" spans="1:10" x14ac:dyDescent="0.2">
      <c r="A844" s="2"/>
      <c r="B844" s="2"/>
      <c r="C844" s="2"/>
      <c r="D844" s="2"/>
      <c r="E844" s="2"/>
      <c r="F844" s="2"/>
      <c r="G844" s="2"/>
      <c r="H844" s="2"/>
      <c r="I844" s="2"/>
      <c r="J844" s="2"/>
    </row>
    <row r="845" spans="1:10" x14ac:dyDescent="0.2">
      <c r="A845" s="2"/>
      <c r="B845" s="2"/>
      <c r="C845" s="2"/>
      <c r="D845" s="2"/>
      <c r="E845" s="2"/>
      <c r="F845" s="2"/>
      <c r="G845" s="2"/>
      <c r="H845" s="2"/>
      <c r="I845" s="2"/>
      <c r="J845" s="2"/>
    </row>
    <row r="846" spans="1:10" x14ac:dyDescent="0.2">
      <c r="A846" s="2"/>
      <c r="B846" s="2"/>
      <c r="C846" s="2"/>
      <c r="D846" s="2"/>
      <c r="E846" s="2"/>
      <c r="F846" s="2"/>
      <c r="G846" s="2"/>
      <c r="H846" s="2"/>
      <c r="I846" s="2"/>
      <c r="J846" s="2"/>
    </row>
    <row r="847" spans="1:10" x14ac:dyDescent="0.2">
      <c r="A847" s="2"/>
      <c r="B847" s="2"/>
      <c r="C847" s="2"/>
      <c r="D847" s="2"/>
      <c r="E847" s="2"/>
      <c r="F847" s="2"/>
      <c r="G847" s="2"/>
      <c r="H847" s="2"/>
      <c r="I847" s="2"/>
      <c r="J847" s="2"/>
    </row>
    <row r="848" spans="1:10" x14ac:dyDescent="0.2">
      <c r="A848" s="2"/>
      <c r="B848" s="2"/>
      <c r="C848" s="2"/>
      <c r="D848" s="2"/>
      <c r="E848" s="2"/>
      <c r="F848" s="2"/>
      <c r="G848" s="2"/>
      <c r="H848" s="2"/>
      <c r="I848" s="2"/>
      <c r="J848" s="2"/>
    </row>
    <row r="849" spans="1:10" x14ac:dyDescent="0.2">
      <c r="A849" s="2"/>
      <c r="B849" s="2"/>
      <c r="C849" s="2"/>
      <c r="D849" s="2"/>
      <c r="E849" s="2"/>
      <c r="F849" s="2"/>
      <c r="G849" s="2"/>
      <c r="H849" s="2"/>
      <c r="I849" s="2"/>
      <c r="J849" s="2"/>
    </row>
    <row r="850" spans="1:10" x14ac:dyDescent="0.2">
      <c r="A850" s="2"/>
      <c r="B850" s="2"/>
      <c r="C850" s="2"/>
      <c r="D850" s="2"/>
      <c r="E850" s="2"/>
      <c r="F850" s="2"/>
      <c r="G850" s="2"/>
      <c r="H850" s="2"/>
      <c r="I850" s="2"/>
      <c r="J850" s="2"/>
    </row>
    <row r="851" spans="1:10" x14ac:dyDescent="0.2">
      <c r="A851" s="2"/>
      <c r="B851" s="2"/>
      <c r="C851" s="2"/>
      <c r="D851" s="2"/>
      <c r="E851" s="2"/>
      <c r="F851" s="2"/>
      <c r="G851" s="2"/>
      <c r="H851" s="2"/>
      <c r="I851" s="2"/>
      <c r="J851" s="2"/>
    </row>
    <row r="852" spans="1:10" x14ac:dyDescent="0.2">
      <c r="A852" s="2"/>
      <c r="B852" s="2"/>
      <c r="C852" s="2"/>
      <c r="D852" s="2"/>
      <c r="E852" s="2"/>
      <c r="F852" s="2"/>
      <c r="G852" s="2"/>
      <c r="H852" s="2"/>
      <c r="I852" s="2"/>
      <c r="J852" s="2"/>
    </row>
    <row r="853" spans="1:10" x14ac:dyDescent="0.2">
      <c r="A853" s="2"/>
      <c r="B853" s="2"/>
      <c r="C853" s="2"/>
      <c r="D853" s="2"/>
      <c r="E853" s="2"/>
      <c r="F853" s="2"/>
      <c r="G853" s="2"/>
      <c r="H853" s="2"/>
      <c r="I853" s="2"/>
      <c r="J853" s="2"/>
    </row>
    <row r="854" spans="1:10" x14ac:dyDescent="0.2">
      <c r="A854" s="2"/>
      <c r="B854" s="2"/>
      <c r="C854" s="2"/>
      <c r="D854" s="2"/>
      <c r="E854" s="2"/>
      <c r="F854" s="2"/>
      <c r="G854" s="2"/>
      <c r="H854" s="2"/>
      <c r="I854" s="2"/>
      <c r="J854" s="2"/>
    </row>
    <row r="855" spans="1:10" x14ac:dyDescent="0.2">
      <c r="A855" s="2"/>
      <c r="B855" s="2"/>
      <c r="C855" s="2"/>
      <c r="D855" s="2"/>
      <c r="E855" s="2"/>
      <c r="F855" s="2"/>
      <c r="G855" s="2"/>
      <c r="H855" s="2"/>
      <c r="I855" s="2"/>
      <c r="J855" s="2"/>
    </row>
    <row r="856" spans="1:10" x14ac:dyDescent="0.2">
      <c r="A856" s="2"/>
      <c r="B856" s="2"/>
      <c r="C856" s="2"/>
      <c r="D856" s="2"/>
      <c r="E856" s="2"/>
      <c r="F856" s="2"/>
      <c r="G856" s="2"/>
      <c r="H856" s="2"/>
      <c r="I856" s="2"/>
      <c r="J856" s="2"/>
    </row>
    <row r="857" spans="1:10" x14ac:dyDescent="0.2">
      <c r="A857" s="2"/>
      <c r="B857" s="2"/>
      <c r="C857" s="2"/>
      <c r="D857" s="2"/>
      <c r="E857" s="2"/>
      <c r="F857" s="2"/>
      <c r="G857" s="2"/>
      <c r="H857" s="2"/>
      <c r="I857" s="2"/>
      <c r="J857" s="2"/>
    </row>
    <row r="858" spans="1:10" x14ac:dyDescent="0.2">
      <c r="A858" s="2"/>
      <c r="B858" s="2"/>
      <c r="C858" s="2"/>
      <c r="D858" s="2"/>
      <c r="E858" s="2"/>
      <c r="F858" s="2"/>
      <c r="G858" s="2"/>
      <c r="H858" s="2"/>
      <c r="I858" s="2"/>
      <c r="J858" s="2"/>
    </row>
    <row r="859" spans="1:10" x14ac:dyDescent="0.2">
      <c r="A859" s="2"/>
      <c r="B859" s="2"/>
      <c r="C859" s="2"/>
      <c r="D859" s="2"/>
      <c r="E859" s="2"/>
      <c r="F859" s="2"/>
      <c r="G859" s="2"/>
      <c r="H859" s="2"/>
      <c r="I859" s="2"/>
      <c r="J859" s="2"/>
    </row>
    <row r="860" spans="1:10" x14ac:dyDescent="0.2">
      <c r="A860" s="2"/>
      <c r="B860" s="2"/>
      <c r="C860" s="2"/>
      <c r="D860" s="2"/>
      <c r="E860" s="2"/>
      <c r="F860" s="2"/>
      <c r="G860" s="2"/>
      <c r="H860" s="2"/>
      <c r="I860" s="2"/>
      <c r="J860" s="2"/>
    </row>
    <row r="861" spans="1:10" x14ac:dyDescent="0.2">
      <c r="A861" s="2"/>
      <c r="B861" s="2"/>
      <c r="C861" s="2"/>
      <c r="D861" s="2"/>
      <c r="E861" s="2"/>
      <c r="F861" s="2"/>
      <c r="G861" s="2"/>
      <c r="H861" s="2"/>
      <c r="I861" s="2"/>
      <c r="J861" s="2"/>
    </row>
    <row r="862" spans="1:10" x14ac:dyDescent="0.2">
      <c r="A862" s="2"/>
      <c r="B862" s="2"/>
      <c r="C862" s="2"/>
      <c r="D862" s="2"/>
      <c r="E862" s="2"/>
      <c r="F862" s="2"/>
      <c r="G862" s="2"/>
      <c r="H862" s="2"/>
      <c r="I862" s="2"/>
      <c r="J862" s="2"/>
    </row>
    <row r="863" spans="1:10" x14ac:dyDescent="0.2">
      <c r="A863" s="2"/>
      <c r="B863" s="2"/>
      <c r="C863" s="2"/>
      <c r="D863" s="2"/>
      <c r="E863" s="2"/>
      <c r="F863" s="2"/>
      <c r="G863" s="2"/>
      <c r="H863" s="2"/>
      <c r="I863" s="2"/>
      <c r="J863" s="2"/>
    </row>
    <row r="864" spans="1:10" x14ac:dyDescent="0.2">
      <c r="A864" s="2"/>
      <c r="B864" s="2"/>
      <c r="C864" s="2"/>
      <c r="D864" s="2"/>
      <c r="E864" s="2"/>
      <c r="F864" s="2"/>
      <c r="G864" s="2"/>
      <c r="H864" s="2"/>
      <c r="I864" s="2"/>
      <c r="J864" s="2"/>
    </row>
    <row r="865" spans="1:10" x14ac:dyDescent="0.2">
      <c r="A865" s="2"/>
      <c r="B865" s="2"/>
      <c r="C865" s="2"/>
      <c r="D865" s="2"/>
      <c r="E865" s="2"/>
      <c r="F865" s="2"/>
      <c r="G865" s="2"/>
      <c r="H865" s="2"/>
      <c r="I865" s="2"/>
      <c r="J865" s="2"/>
    </row>
    <row r="866" spans="1:10" x14ac:dyDescent="0.2">
      <c r="A866" s="2"/>
      <c r="B866" s="2"/>
      <c r="C866" s="2"/>
      <c r="D866" s="2"/>
      <c r="E866" s="2"/>
      <c r="F866" s="2"/>
      <c r="G866" s="2"/>
      <c r="H866" s="2"/>
      <c r="I866" s="2"/>
      <c r="J866" s="2"/>
    </row>
    <row r="867" spans="1:10" x14ac:dyDescent="0.2">
      <c r="A867" s="2"/>
      <c r="B867" s="2"/>
      <c r="C867" s="2"/>
      <c r="D867" s="2"/>
      <c r="E867" s="2"/>
      <c r="F867" s="2"/>
      <c r="G867" s="2"/>
      <c r="H867" s="2"/>
      <c r="I867" s="2"/>
      <c r="J867" s="2"/>
    </row>
    <row r="868" spans="1:10" x14ac:dyDescent="0.2">
      <c r="A868" s="2"/>
      <c r="B868" s="2"/>
      <c r="C868" s="2"/>
      <c r="D868" s="2"/>
      <c r="E868" s="2"/>
      <c r="F868" s="2"/>
      <c r="G868" s="2"/>
      <c r="H868" s="2"/>
      <c r="I868" s="2"/>
      <c r="J868" s="2"/>
    </row>
    <row r="869" spans="1:10" x14ac:dyDescent="0.2">
      <c r="A869" s="2"/>
      <c r="B869" s="2"/>
      <c r="C869" s="2"/>
      <c r="D869" s="2"/>
      <c r="E869" s="2"/>
      <c r="F869" s="2"/>
      <c r="G869" s="2"/>
      <c r="H869" s="2"/>
      <c r="I869" s="2"/>
      <c r="J869" s="2"/>
    </row>
    <row r="870" spans="1:10" x14ac:dyDescent="0.2">
      <c r="A870" s="2"/>
      <c r="B870" s="2"/>
      <c r="C870" s="2"/>
      <c r="D870" s="2"/>
      <c r="E870" s="2"/>
      <c r="F870" s="2"/>
      <c r="G870" s="2"/>
      <c r="H870" s="2"/>
      <c r="I870" s="2"/>
      <c r="J870" s="2"/>
    </row>
    <row r="871" spans="1:10" x14ac:dyDescent="0.2">
      <c r="A871" s="2"/>
      <c r="B871" s="2"/>
      <c r="C871" s="2"/>
      <c r="D871" s="2"/>
      <c r="E871" s="2"/>
      <c r="F871" s="2"/>
      <c r="G871" s="2"/>
      <c r="H871" s="2"/>
      <c r="I871" s="2"/>
      <c r="J871" s="2"/>
    </row>
    <row r="872" spans="1:10" x14ac:dyDescent="0.2">
      <c r="A872" s="2"/>
      <c r="B872" s="2"/>
      <c r="C872" s="2"/>
      <c r="D872" s="2"/>
      <c r="E872" s="2"/>
      <c r="F872" s="2"/>
      <c r="G872" s="2"/>
      <c r="H872" s="2"/>
      <c r="I872" s="2"/>
      <c r="J872" s="2"/>
    </row>
    <row r="873" spans="1:10" x14ac:dyDescent="0.2">
      <c r="A873" s="2"/>
      <c r="B873" s="2"/>
      <c r="C873" s="2"/>
      <c r="D873" s="2"/>
      <c r="E873" s="2"/>
      <c r="F873" s="2"/>
      <c r="G873" s="2"/>
      <c r="H873" s="2"/>
      <c r="I873" s="2"/>
      <c r="J873" s="2"/>
    </row>
    <row r="874" spans="1:10" x14ac:dyDescent="0.2">
      <c r="A874" s="2"/>
      <c r="B874" s="2"/>
      <c r="C874" s="2"/>
      <c r="D874" s="2"/>
      <c r="E874" s="2"/>
      <c r="F874" s="2"/>
      <c r="G874" s="2"/>
      <c r="H874" s="2"/>
      <c r="I874" s="2"/>
      <c r="J874" s="2"/>
    </row>
    <row r="875" spans="1:10" x14ac:dyDescent="0.2">
      <c r="A875" s="2"/>
      <c r="B875" s="2"/>
      <c r="C875" s="2"/>
      <c r="D875" s="2"/>
      <c r="E875" s="2"/>
      <c r="F875" s="2"/>
      <c r="G875" s="2"/>
      <c r="H875" s="2"/>
      <c r="I875" s="2"/>
      <c r="J875" s="2"/>
    </row>
    <row r="876" spans="1:10" x14ac:dyDescent="0.2">
      <c r="A876" s="2"/>
      <c r="B876" s="2"/>
      <c r="C876" s="2"/>
      <c r="D876" s="2"/>
      <c r="E876" s="2"/>
      <c r="F876" s="2"/>
      <c r="G876" s="2"/>
      <c r="H876" s="2"/>
      <c r="I876" s="2"/>
      <c r="J876" s="2"/>
    </row>
    <row r="877" spans="1:10" x14ac:dyDescent="0.2">
      <c r="A877" s="2"/>
      <c r="B877" s="2"/>
      <c r="C877" s="2"/>
      <c r="D877" s="2"/>
      <c r="E877" s="2"/>
      <c r="F877" s="2"/>
      <c r="G877" s="2"/>
      <c r="H877" s="2"/>
      <c r="I877" s="2"/>
      <c r="J877" s="2"/>
    </row>
    <row r="878" spans="1:10" x14ac:dyDescent="0.2">
      <c r="A878" s="2"/>
      <c r="B878" s="2"/>
      <c r="C878" s="2"/>
      <c r="D878" s="2"/>
      <c r="E878" s="2"/>
      <c r="F878" s="2"/>
      <c r="G878" s="2"/>
      <c r="H878" s="2"/>
      <c r="I878" s="2"/>
      <c r="J878" s="2"/>
    </row>
    <row r="879" spans="1:10" x14ac:dyDescent="0.2">
      <c r="A879" s="2"/>
      <c r="B879" s="2"/>
      <c r="C879" s="2"/>
      <c r="D879" s="2"/>
      <c r="E879" s="2"/>
      <c r="F879" s="2"/>
      <c r="G879" s="2"/>
      <c r="H879" s="2"/>
      <c r="I879" s="2"/>
      <c r="J879" s="2"/>
    </row>
    <row r="880" spans="1:10" x14ac:dyDescent="0.2">
      <c r="A880" s="2"/>
      <c r="B880" s="2"/>
      <c r="C880" s="2"/>
      <c r="D880" s="2"/>
      <c r="E880" s="2"/>
      <c r="F880" s="2"/>
      <c r="G880" s="2"/>
      <c r="H880" s="2"/>
      <c r="I880" s="2"/>
      <c r="J880" s="2"/>
    </row>
    <row r="881" spans="1:10" x14ac:dyDescent="0.2">
      <c r="A881" s="2"/>
      <c r="B881" s="2"/>
      <c r="C881" s="2"/>
      <c r="D881" s="2"/>
      <c r="E881" s="2"/>
      <c r="F881" s="2"/>
      <c r="G881" s="2"/>
      <c r="H881" s="2"/>
      <c r="I881" s="2"/>
      <c r="J881" s="2"/>
    </row>
    <row r="882" spans="1:10" x14ac:dyDescent="0.2">
      <c r="A882" s="2"/>
      <c r="B882" s="2"/>
      <c r="C882" s="2"/>
      <c r="D882" s="2"/>
      <c r="E882" s="2"/>
      <c r="F882" s="2"/>
      <c r="G882" s="2"/>
      <c r="H882" s="2"/>
      <c r="I882" s="2"/>
      <c r="J882" s="2"/>
    </row>
    <row r="883" spans="1:10" x14ac:dyDescent="0.2">
      <c r="A883" s="2"/>
      <c r="B883" s="2"/>
      <c r="C883" s="2"/>
      <c r="D883" s="2"/>
      <c r="E883" s="2"/>
      <c r="F883" s="2"/>
      <c r="G883" s="2"/>
      <c r="H883" s="2"/>
      <c r="I883" s="2"/>
      <c r="J883" s="2"/>
    </row>
    <row r="884" spans="1:10" x14ac:dyDescent="0.2">
      <c r="A884" s="2"/>
      <c r="B884" s="2"/>
      <c r="C884" s="2"/>
      <c r="D884" s="2"/>
      <c r="E884" s="2"/>
      <c r="F884" s="2"/>
      <c r="G884" s="2"/>
      <c r="H884" s="2"/>
      <c r="I884" s="2"/>
      <c r="J884" s="2"/>
    </row>
    <row r="885" spans="1:10" x14ac:dyDescent="0.2">
      <c r="A885" s="2"/>
      <c r="B885" s="2"/>
      <c r="C885" s="2"/>
      <c r="D885" s="2"/>
      <c r="E885" s="2"/>
      <c r="F885" s="2"/>
      <c r="G885" s="2"/>
      <c r="H885" s="2"/>
      <c r="I885" s="2"/>
      <c r="J885" s="2"/>
    </row>
    <row r="886" spans="1:10" x14ac:dyDescent="0.2">
      <c r="A886" s="2"/>
      <c r="B886" s="2"/>
      <c r="C886" s="2"/>
      <c r="D886" s="2"/>
      <c r="E886" s="2"/>
      <c r="F886" s="2"/>
      <c r="G886" s="2"/>
      <c r="H886" s="2"/>
      <c r="I886" s="2"/>
      <c r="J886" s="2"/>
    </row>
    <row r="887" spans="1:10" x14ac:dyDescent="0.2">
      <c r="A887" s="2"/>
      <c r="B887" s="2"/>
      <c r="C887" s="2"/>
      <c r="D887" s="2"/>
      <c r="E887" s="2"/>
      <c r="F887" s="2"/>
      <c r="G887" s="2"/>
      <c r="H887" s="2"/>
      <c r="I887" s="2"/>
      <c r="J887" s="2"/>
    </row>
    <row r="888" spans="1:10" x14ac:dyDescent="0.2">
      <c r="A888" s="2"/>
      <c r="B888" s="2"/>
      <c r="C888" s="2"/>
      <c r="D888" s="2"/>
      <c r="E888" s="2"/>
      <c r="F888" s="2"/>
      <c r="G888" s="2"/>
      <c r="H888" s="2"/>
      <c r="I888" s="2"/>
      <c r="J888" s="2"/>
    </row>
    <row r="889" spans="1:10" x14ac:dyDescent="0.2">
      <c r="A889" s="2"/>
      <c r="B889" s="2"/>
      <c r="C889" s="2"/>
      <c r="D889" s="2"/>
      <c r="E889" s="2"/>
      <c r="F889" s="2"/>
      <c r="G889" s="2"/>
      <c r="H889" s="2"/>
      <c r="I889" s="2"/>
      <c r="J889" s="2"/>
    </row>
    <row r="890" spans="1:10" x14ac:dyDescent="0.2">
      <c r="A890" s="2"/>
      <c r="B890" s="2"/>
      <c r="C890" s="2"/>
      <c r="D890" s="2"/>
      <c r="E890" s="2"/>
      <c r="F890" s="2"/>
      <c r="G890" s="2"/>
      <c r="H890" s="2"/>
      <c r="I890" s="2"/>
      <c r="J890" s="2"/>
    </row>
    <row r="891" spans="1:10" x14ac:dyDescent="0.2">
      <c r="A891" s="2"/>
      <c r="B891" s="2"/>
      <c r="C891" s="2"/>
      <c r="D891" s="2"/>
      <c r="E891" s="2"/>
      <c r="F891" s="2"/>
      <c r="G891" s="2"/>
      <c r="H891" s="2"/>
      <c r="I891" s="2"/>
      <c r="J891" s="2"/>
    </row>
    <row r="892" spans="1:10" x14ac:dyDescent="0.2">
      <c r="A892" s="2"/>
      <c r="B892" s="2"/>
      <c r="C892" s="2"/>
      <c r="D892" s="2"/>
      <c r="E892" s="2"/>
      <c r="F892" s="2"/>
      <c r="G892" s="2"/>
      <c r="H892" s="2"/>
      <c r="I892" s="2"/>
      <c r="J892" s="2"/>
    </row>
    <row r="893" spans="1:10" x14ac:dyDescent="0.2">
      <c r="A893" s="2"/>
      <c r="B893" s="2"/>
      <c r="C893" s="2"/>
      <c r="D893" s="2"/>
      <c r="E893" s="2"/>
      <c r="F893" s="2"/>
      <c r="G893" s="2"/>
      <c r="H893" s="2"/>
      <c r="I893" s="2"/>
      <c r="J893" s="2"/>
    </row>
    <row r="894" spans="1:10" x14ac:dyDescent="0.2">
      <c r="A894" s="2"/>
      <c r="B894" s="2"/>
      <c r="C894" s="2"/>
      <c r="D894" s="2"/>
      <c r="E894" s="2"/>
      <c r="F894" s="2"/>
      <c r="G894" s="2"/>
      <c r="H894" s="2"/>
      <c r="I894" s="2"/>
      <c r="J894" s="2"/>
    </row>
    <row r="895" spans="1:10" x14ac:dyDescent="0.2">
      <c r="A895" s="2"/>
      <c r="B895" s="2"/>
      <c r="C895" s="2"/>
      <c r="D895" s="2"/>
      <c r="E895" s="2"/>
      <c r="F895" s="2"/>
      <c r="G895" s="2"/>
      <c r="H895" s="2"/>
      <c r="I895" s="2"/>
      <c r="J895" s="2"/>
    </row>
    <row r="896" spans="1:10" x14ac:dyDescent="0.2">
      <c r="A896" s="2"/>
      <c r="B896" s="2"/>
      <c r="C896" s="2"/>
      <c r="D896" s="2"/>
      <c r="E896" s="2"/>
      <c r="F896" s="2"/>
      <c r="G896" s="2"/>
      <c r="H896" s="2"/>
      <c r="I896" s="2"/>
      <c r="J896" s="2"/>
    </row>
    <row r="897" spans="1:10" x14ac:dyDescent="0.2">
      <c r="A897" s="2"/>
      <c r="B897" s="2"/>
      <c r="C897" s="2"/>
      <c r="D897" s="2"/>
      <c r="E897" s="2"/>
      <c r="F897" s="2"/>
      <c r="G897" s="2"/>
      <c r="H897" s="2"/>
      <c r="I897" s="2"/>
      <c r="J897" s="2"/>
    </row>
    <row r="898" spans="1:10" x14ac:dyDescent="0.2">
      <c r="A898" s="2"/>
      <c r="B898" s="2"/>
      <c r="C898" s="2"/>
      <c r="D898" s="2"/>
      <c r="E898" s="2"/>
      <c r="F898" s="2"/>
      <c r="G898" s="2"/>
      <c r="H898" s="2"/>
      <c r="I898" s="2"/>
      <c r="J898" s="2"/>
    </row>
    <row r="899" spans="1:10" x14ac:dyDescent="0.2">
      <c r="A899" s="2"/>
      <c r="B899" s="2"/>
      <c r="C899" s="2"/>
      <c r="D899" s="2"/>
      <c r="E899" s="2"/>
      <c r="F899" s="2"/>
      <c r="G899" s="2"/>
      <c r="H899" s="2"/>
      <c r="I899" s="2"/>
      <c r="J899" s="2"/>
    </row>
    <row r="900" spans="1:10" x14ac:dyDescent="0.2">
      <c r="A900" s="2"/>
      <c r="B900" s="2"/>
      <c r="C900" s="2"/>
      <c r="D900" s="2"/>
      <c r="E900" s="2"/>
      <c r="F900" s="2"/>
      <c r="G900" s="2"/>
      <c r="H900" s="2"/>
      <c r="I900" s="2"/>
      <c r="J900" s="2"/>
    </row>
    <row r="901" spans="1:10" x14ac:dyDescent="0.2">
      <c r="A901" s="2"/>
      <c r="B901" s="2"/>
      <c r="C901" s="2"/>
      <c r="D901" s="2"/>
      <c r="E901" s="2"/>
      <c r="F901" s="2"/>
      <c r="G901" s="2"/>
      <c r="H901" s="2"/>
      <c r="I901" s="2"/>
      <c r="J901" s="2"/>
    </row>
    <row r="902" spans="1:10" x14ac:dyDescent="0.2">
      <c r="A902" s="2"/>
      <c r="B902" s="2"/>
      <c r="C902" s="2"/>
      <c r="D902" s="2"/>
      <c r="E902" s="2"/>
      <c r="F902" s="2"/>
      <c r="G902" s="2"/>
      <c r="H902" s="2"/>
      <c r="I902" s="2"/>
      <c r="J902" s="2"/>
    </row>
    <row r="903" spans="1:10" x14ac:dyDescent="0.2">
      <c r="A903" s="2"/>
      <c r="B903" s="2"/>
      <c r="C903" s="2"/>
      <c r="D903" s="2"/>
      <c r="E903" s="2"/>
      <c r="F903" s="2"/>
      <c r="G903" s="2"/>
      <c r="H903" s="2"/>
      <c r="I903" s="2"/>
      <c r="J903" s="2"/>
    </row>
    <row r="904" spans="1:10" x14ac:dyDescent="0.2">
      <c r="A904" s="2"/>
      <c r="B904" s="2"/>
      <c r="C904" s="2"/>
      <c r="D904" s="2"/>
      <c r="E904" s="2"/>
      <c r="F904" s="2"/>
      <c r="G904" s="2"/>
      <c r="H904" s="2"/>
      <c r="I904" s="2"/>
      <c r="J904" s="2"/>
    </row>
    <row r="905" spans="1:10" x14ac:dyDescent="0.2">
      <c r="A905" s="2"/>
      <c r="B905" s="2"/>
      <c r="C905" s="2"/>
      <c r="D905" s="2"/>
      <c r="E905" s="2"/>
      <c r="F905" s="2"/>
      <c r="G905" s="2"/>
      <c r="H905" s="2"/>
      <c r="I905" s="2"/>
      <c r="J905" s="2"/>
    </row>
    <row r="906" spans="1:10" x14ac:dyDescent="0.2">
      <c r="A906" s="2"/>
      <c r="B906" s="2"/>
      <c r="C906" s="2"/>
      <c r="D906" s="2"/>
      <c r="E906" s="2"/>
      <c r="F906" s="2"/>
      <c r="G906" s="2"/>
      <c r="H906" s="2"/>
      <c r="I906" s="2"/>
      <c r="J906" s="2"/>
    </row>
    <row r="907" spans="1:10" x14ac:dyDescent="0.2">
      <c r="A907" s="2"/>
      <c r="B907" s="2"/>
      <c r="C907" s="2"/>
      <c r="D907" s="2"/>
      <c r="E907" s="2"/>
      <c r="F907" s="2"/>
      <c r="G907" s="2"/>
      <c r="H907" s="2"/>
      <c r="I907" s="2"/>
      <c r="J907" s="2"/>
    </row>
    <row r="908" spans="1:10" x14ac:dyDescent="0.2">
      <c r="A908" s="2"/>
      <c r="B908" s="2"/>
      <c r="C908" s="2"/>
      <c r="D908" s="2"/>
      <c r="E908" s="2"/>
      <c r="F908" s="2"/>
      <c r="G908" s="2"/>
      <c r="H908" s="2"/>
      <c r="I908" s="2"/>
      <c r="J908" s="2"/>
    </row>
    <row r="909" spans="1:10" x14ac:dyDescent="0.2">
      <c r="A909" s="2"/>
      <c r="B909" s="2"/>
      <c r="C909" s="2"/>
      <c r="D909" s="2"/>
      <c r="E909" s="2"/>
      <c r="F909" s="2"/>
      <c r="G909" s="2"/>
      <c r="H909" s="2"/>
      <c r="I909" s="2"/>
      <c r="J909" s="2"/>
    </row>
    <row r="910" spans="1:10" x14ac:dyDescent="0.2">
      <c r="A910" s="2"/>
      <c r="B910" s="2"/>
      <c r="C910" s="2"/>
      <c r="D910" s="2"/>
      <c r="E910" s="2"/>
      <c r="F910" s="2"/>
      <c r="G910" s="2"/>
      <c r="H910" s="2"/>
      <c r="I910" s="2"/>
      <c r="J910" s="2"/>
    </row>
    <row r="911" spans="1:10" x14ac:dyDescent="0.2">
      <c r="A911" s="2"/>
      <c r="B911" s="2"/>
      <c r="C911" s="2"/>
      <c r="D911" s="2"/>
      <c r="E911" s="2"/>
      <c r="F911" s="2"/>
      <c r="G911" s="2"/>
      <c r="H911" s="2"/>
      <c r="I911" s="2"/>
      <c r="J911" s="2"/>
    </row>
    <row r="912" spans="1:10" x14ac:dyDescent="0.2">
      <c r="A912" s="2"/>
      <c r="B912" s="2"/>
      <c r="C912" s="2"/>
      <c r="D912" s="2"/>
      <c r="E912" s="2"/>
      <c r="F912" s="2"/>
      <c r="G912" s="2"/>
      <c r="H912" s="2"/>
      <c r="I912" s="2"/>
      <c r="J912" s="2"/>
    </row>
    <row r="913" spans="1:10" x14ac:dyDescent="0.2">
      <c r="A913" s="2"/>
      <c r="B913" s="2"/>
      <c r="C913" s="2"/>
      <c r="D913" s="2"/>
      <c r="E913" s="2"/>
      <c r="F913" s="2"/>
      <c r="G913" s="2"/>
      <c r="H913" s="2"/>
      <c r="I913" s="2"/>
      <c r="J913" s="2"/>
    </row>
    <row r="914" spans="1:10" x14ac:dyDescent="0.2">
      <c r="A914" s="2"/>
      <c r="B914" s="2"/>
      <c r="C914" s="2"/>
      <c r="D914" s="2"/>
      <c r="E914" s="2"/>
      <c r="F914" s="2"/>
      <c r="G914" s="2"/>
      <c r="H914" s="2"/>
      <c r="I914" s="2"/>
      <c r="J914" s="2"/>
    </row>
    <row r="915" spans="1:10" x14ac:dyDescent="0.2">
      <c r="A915" s="2"/>
      <c r="B915" s="2"/>
      <c r="C915" s="2"/>
      <c r="D915" s="2"/>
      <c r="E915" s="2"/>
      <c r="F915" s="2"/>
      <c r="G915" s="2"/>
      <c r="H915" s="2"/>
      <c r="I915" s="2"/>
      <c r="J915" s="2"/>
    </row>
    <row r="916" spans="1:10" x14ac:dyDescent="0.2">
      <c r="A916" s="2"/>
      <c r="B916" s="2"/>
      <c r="C916" s="2"/>
      <c r="D916" s="2"/>
      <c r="E916" s="2"/>
      <c r="F916" s="2"/>
      <c r="G916" s="2"/>
      <c r="H916" s="2"/>
      <c r="I916" s="2"/>
      <c r="J916" s="2"/>
    </row>
    <row r="917" spans="1:10" x14ac:dyDescent="0.2">
      <c r="A917" s="2"/>
      <c r="B917" s="2"/>
      <c r="C917" s="2"/>
      <c r="D917" s="2"/>
      <c r="E917" s="2"/>
      <c r="F917" s="2"/>
      <c r="G917" s="2"/>
      <c r="H917" s="2"/>
      <c r="I917" s="2"/>
      <c r="J917" s="2"/>
    </row>
    <row r="918" spans="1:10" x14ac:dyDescent="0.2">
      <c r="A918" s="2"/>
      <c r="B918" s="2"/>
      <c r="C918" s="2"/>
      <c r="D918" s="2"/>
      <c r="E918" s="2"/>
      <c r="F918" s="2"/>
      <c r="G918" s="2"/>
      <c r="H918" s="2"/>
      <c r="I918" s="2"/>
      <c r="J918" s="2"/>
    </row>
    <row r="919" spans="1:10" x14ac:dyDescent="0.2">
      <c r="A919" s="2"/>
      <c r="B919" s="2"/>
      <c r="C919" s="2"/>
      <c r="D919" s="2"/>
      <c r="E919" s="2"/>
      <c r="F919" s="2"/>
      <c r="G919" s="2"/>
      <c r="H919" s="2"/>
      <c r="I919" s="2"/>
      <c r="J919" s="2"/>
    </row>
    <row r="920" spans="1:10" x14ac:dyDescent="0.2">
      <c r="A920" s="2"/>
      <c r="B920" s="2"/>
      <c r="C920" s="2"/>
      <c r="D920" s="2"/>
      <c r="E920" s="2"/>
      <c r="F920" s="2"/>
      <c r="G920" s="2"/>
      <c r="H920" s="2"/>
      <c r="I920" s="2"/>
      <c r="J920" s="2"/>
    </row>
    <row r="921" spans="1:10" x14ac:dyDescent="0.2">
      <c r="A921" s="2"/>
      <c r="B921" s="2"/>
      <c r="C921" s="2"/>
      <c r="D921" s="2"/>
      <c r="E921" s="2"/>
      <c r="F921" s="2"/>
      <c r="G921" s="2"/>
      <c r="H921" s="2"/>
      <c r="I921" s="2"/>
      <c r="J921" s="2"/>
    </row>
    <row r="922" spans="1:10" x14ac:dyDescent="0.2">
      <c r="A922" s="2"/>
      <c r="B922" s="2"/>
      <c r="C922" s="2"/>
      <c r="D922" s="2"/>
      <c r="E922" s="2"/>
      <c r="F922" s="2"/>
      <c r="G922" s="2"/>
      <c r="H922" s="2"/>
      <c r="I922" s="2"/>
      <c r="J922" s="2"/>
    </row>
    <row r="923" spans="1:10" x14ac:dyDescent="0.2">
      <c r="A923" s="2"/>
      <c r="B923" s="2"/>
      <c r="C923" s="2"/>
      <c r="D923" s="2"/>
      <c r="E923" s="2"/>
      <c r="F923" s="2"/>
      <c r="G923" s="2"/>
      <c r="H923" s="2"/>
      <c r="I923" s="2"/>
      <c r="J923" s="2"/>
    </row>
    <row r="924" spans="1:10" x14ac:dyDescent="0.2">
      <c r="A924" s="2"/>
      <c r="B924" s="2"/>
      <c r="C924" s="2"/>
      <c r="D924" s="2"/>
      <c r="E924" s="2"/>
      <c r="F924" s="2"/>
      <c r="G924" s="2"/>
      <c r="H924" s="2"/>
      <c r="I924" s="2"/>
      <c r="J924" s="2"/>
    </row>
    <row r="925" spans="1:10" x14ac:dyDescent="0.2">
      <c r="A925" s="2"/>
      <c r="B925" s="2"/>
      <c r="C925" s="2"/>
      <c r="D925" s="2"/>
      <c r="E925" s="2"/>
      <c r="F925" s="2"/>
      <c r="G925" s="2"/>
      <c r="H925" s="2"/>
      <c r="I925" s="2"/>
      <c r="J925" s="2"/>
    </row>
    <row r="926" spans="1:10" x14ac:dyDescent="0.2">
      <c r="A926" s="2"/>
      <c r="B926" s="2"/>
      <c r="C926" s="2"/>
      <c r="D926" s="2"/>
      <c r="E926" s="2"/>
      <c r="F926" s="2"/>
      <c r="G926" s="2"/>
      <c r="H926" s="2"/>
      <c r="I926" s="2"/>
      <c r="J926" s="2"/>
    </row>
    <row r="927" spans="1:10" x14ac:dyDescent="0.2">
      <c r="A927" s="2"/>
      <c r="B927" s="2"/>
      <c r="C927" s="2"/>
      <c r="D927" s="2"/>
      <c r="E927" s="2"/>
      <c r="F927" s="2"/>
      <c r="G927" s="2"/>
      <c r="H927" s="2"/>
      <c r="I927" s="2"/>
      <c r="J927" s="2"/>
    </row>
    <row r="928" spans="1:10" x14ac:dyDescent="0.2">
      <c r="A928" s="2"/>
      <c r="B928" s="2"/>
      <c r="C928" s="2"/>
      <c r="D928" s="2"/>
      <c r="E928" s="2"/>
      <c r="F928" s="2"/>
      <c r="G928" s="2"/>
      <c r="H928" s="2"/>
      <c r="I928" s="2"/>
      <c r="J928" s="2"/>
    </row>
    <row r="929" spans="1:10" x14ac:dyDescent="0.2">
      <c r="A929" s="2"/>
      <c r="B929" s="2"/>
      <c r="C929" s="2"/>
      <c r="D929" s="2"/>
      <c r="E929" s="2"/>
      <c r="F929" s="2"/>
      <c r="G929" s="2"/>
      <c r="H929" s="2"/>
      <c r="I929" s="2"/>
      <c r="J929" s="2"/>
    </row>
    <row r="930" spans="1:10" x14ac:dyDescent="0.2">
      <c r="A930" s="2"/>
      <c r="B930" s="2"/>
      <c r="C930" s="2"/>
      <c r="D930" s="2"/>
      <c r="E930" s="2"/>
      <c r="F930" s="2"/>
      <c r="G930" s="2"/>
      <c r="H930" s="2"/>
      <c r="I930" s="2"/>
      <c r="J930" s="2"/>
    </row>
    <row r="931" spans="1:10" x14ac:dyDescent="0.2">
      <c r="A931" s="2"/>
      <c r="B931" s="2"/>
      <c r="C931" s="2"/>
      <c r="D931" s="2"/>
      <c r="E931" s="2"/>
      <c r="F931" s="2"/>
      <c r="G931" s="2"/>
      <c r="H931" s="2"/>
      <c r="I931" s="2"/>
      <c r="J931" s="2"/>
    </row>
    <row r="932" spans="1:10" x14ac:dyDescent="0.2">
      <c r="A932" s="2"/>
      <c r="B932" s="2"/>
      <c r="C932" s="2"/>
      <c r="D932" s="2"/>
      <c r="E932" s="2"/>
      <c r="F932" s="2"/>
      <c r="G932" s="2"/>
      <c r="H932" s="2"/>
      <c r="I932" s="2"/>
      <c r="J932" s="2"/>
    </row>
    <row r="933" spans="1:10" x14ac:dyDescent="0.2">
      <c r="A933" s="2"/>
      <c r="B933" s="2"/>
      <c r="C933" s="2"/>
      <c r="D933" s="2"/>
      <c r="E933" s="2"/>
      <c r="F933" s="2"/>
      <c r="G933" s="2"/>
      <c r="H933" s="2"/>
      <c r="I933" s="2"/>
      <c r="J933" s="2"/>
    </row>
    <row r="934" spans="1:10" x14ac:dyDescent="0.2">
      <c r="A934" s="2"/>
      <c r="B934" s="2"/>
      <c r="C934" s="2"/>
      <c r="D934" s="2"/>
      <c r="E934" s="2"/>
      <c r="F934" s="2"/>
      <c r="G934" s="2"/>
      <c r="H934" s="2"/>
      <c r="I934" s="2"/>
      <c r="J934" s="2"/>
    </row>
    <row r="935" spans="1:10" x14ac:dyDescent="0.2">
      <c r="A935" s="2"/>
      <c r="B935" s="2"/>
      <c r="C935" s="2"/>
      <c r="D935" s="2"/>
      <c r="E935" s="2"/>
      <c r="F935" s="2"/>
      <c r="G935" s="2"/>
      <c r="H935" s="2"/>
      <c r="I935" s="2"/>
      <c r="J935" s="2"/>
    </row>
    <row r="936" spans="1:10" x14ac:dyDescent="0.2">
      <c r="A936" s="2"/>
      <c r="B936" s="2"/>
      <c r="C936" s="2"/>
      <c r="D936" s="2"/>
      <c r="E936" s="2"/>
      <c r="F936" s="2"/>
      <c r="G936" s="2"/>
      <c r="H936" s="2"/>
      <c r="I936" s="2"/>
      <c r="J936" s="2"/>
    </row>
    <row r="937" spans="1:10" x14ac:dyDescent="0.2">
      <c r="A937" s="2"/>
      <c r="B937" s="2"/>
      <c r="C937" s="2"/>
      <c r="D937" s="2"/>
      <c r="E937" s="2"/>
      <c r="F937" s="2"/>
      <c r="G937" s="2"/>
      <c r="H937" s="2"/>
      <c r="I937" s="2"/>
      <c r="J937" s="2"/>
    </row>
    <row r="938" spans="1:10" x14ac:dyDescent="0.2">
      <c r="A938" s="2"/>
      <c r="B938" s="2"/>
      <c r="C938" s="2"/>
      <c r="D938" s="2"/>
      <c r="E938" s="2"/>
      <c r="F938" s="2"/>
      <c r="G938" s="2"/>
      <c r="H938" s="2"/>
      <c r="I938" s="2"/>
      <c r="J938" s="2"/>
    </row>
    <row r="939" spans="1:10" x14ac:dyDescent="0.2">
      <c r="A939" s="2"/>
      <c r="B939" s="2"/>
      <c r="C939" s="2"/>
      <c r="D939" s="2"/>
      <c r="E939" s="2"/>
      <c r="F939" s="2"/>
      <c r="G939" s="2"/>
      <c r="H939" s="2"/>
      <c r="I939" s="2"/>
      <c r="J939" s="2"/>
    </row>
    <row r="940" spans="1:10" x14ac:dyDescent="0.2">
      <c r="A940" s="2"/>
      <c r="B940" s="2"/>
      <c r="C940" s="2"/>
      <c r="D940" s="2"/>
      <c r="E940" s="2"/>
      <c r="F940" s="2"/>
      <c r="G940" s="2"/>
      <c r="H940" s="2"/>
      <c r="I940" s="2"/>
      <c r="J940" s="2"/>
    </row>
    <row r="941" spans="1:10" x14ac:dyDescent="0.2">
      <c r="A941" s="2"/>
      <c r="B941" s="2"/>
      <c r="C941" s="2"/>
      <c r="D941" s="2"/>
      <c r="E941" s="2"/>
      <c r="F941" s="2"/>
      <c r="G941" s="2"/>
      <c r="H941" s="2"/>
      <c r="I941" s="2"/>
      <c r="J941" s="2"/>
    </row>
    <row r="942" spans="1:10" x14ac:dyDescent="0.2">
      <c r="A942" s="2"/>
      <c r="B942" s="2"/>
      <c r="C942" s="2"/>
      <c r="D942" s="2"/>
      <c r="E942" s="2"/>
      <c r="F942" s="2"/>
      <c r="G942" s="2"/>
      <c r="H942" s="2"/>
      <c r="I942" s="2"/>
      <c r="J942" s="2"/>
    </row>
    <row r="943" spans="1:10" x14ac:dyDescent="0.2">
      <c r="A943" s="2"/>
      <c r="B943" s="2"/>
      <c r="C943" s="2"/>
      <c r="D943" s="2"/>
      <c r="E943" s="2"/>
      <c r="F943" s="2"/>
      <c r="G943" s="2"/>
      <c r="H943" s="2"/>
      <c r="I943" s="2"/>
      <c r="J943" s="2"/>
    </row>
    <row r="944" spans="1:10" x14ac:dyDescent="0.2">
      <c r="A944" s="2"/>
      <c r="B944" s="2"/>
      <c r="C944" s="2"/>
      <c r="D944" s="2"/>
      <c r="E944" s="2"/>
      <c r="F944" s="2"/>
      <c r="G944" s="2"/>
      <c r="H944" s="2"/>
      <c r="I944" s="2"/>
      <c r="J944" s="2"/>
    </row>
    <row r="945" spans="1:10" x14ac:dyDescent="0.2">
      <c r="A945" s="2"/>
      <c r="B945" s="2"/>
      <c r="C945" s="2"/>
      <c r="D945" s="2"/>
      <c r="E945" s="2"/>
      <c r="F945" s="2"/>
      <c r="G945" s="2"/>
      <c r="H945" s="2"/>
      <c r="I945" s="2"/>
      <c r="J945" s="2"/>
    </row>
    <row r="946" spans="1:10" x14ac:dyDescent="0.2">
      <c r="A946" s="2"/>
      <c r="B946" s="2"/>
      <c r="C946" s="2"/>
      <c r="D946" s="2"/>
      <c r="E946" s="2"/>
      <c r="F946" s="2"/>
      <c r="G946" s="2"/>
      <c r="H946" s="2"/>
      <c r="I946" s="2"/>
      <c r="J946" s="2"/>
    </row>
    <row r="947" spans="1:10" x14ac:dyDescent="0.2">
      <c r="A947" s="2"/>
      <c r="B947" s="2"/>
      <c r="C947" s="2"/>
      <c r="D947" s="2"/>
      <c r="E947" s="2"/>
      <c r="F947" s="2"/>
      <c r="G947" s="2"/>
      <c r="H947" s="2"/>
      <c r="I947" s="2"/>
      <c r="J947" s="2"/>
    </row>
    <row r="948" spans="1:10" x14ac:dyDescent="0.2">
      <c r="A948" s="2"/>
      <c r="B948" s="2"/>
      <c r="C948" s="2"/>
      <c r="D948" s="2"/>
      <c r="E948" s="2"/>
      <c r="F948" s="2"/>
      <c r="G948" s="2"/>
      <c r="H948" s="2"/>
      <c r="I948" s="2"/>
      <c r="J948" s="2"/>
    </row>
    <row r="949" spans="1:10" x14ac:dyDescent="0.2">
      <c r="A949" s="2"/>
      <c r="B949" s="2"/>
      <c r="C949" s="2"/>
      <c r="D949" s="2"/>
      <c r="E949" s="2"/>
      <c r="F949" s="2"/>
      <c r="G949" s="2"/>
      <c r="H949" s="2"/>
      <c r="I949" s="2"/>
      <c r="J949" s="2"/>
    </row>
    <row r="950" spans="1:10" x14ac:dyDescent="0.2">
      <c r="A950" s="2"/>
      <c r="B950" s="2"/>
      <c r="C950" s="2"/>
      <c r="D950" s="2"/>
      <c r="E950" s="2"/>
      <c r="F950" s="2"/>
      <c r="G950" s="2"/>
      <c r="H950" s="2"/>
      <c r="I950" s="2"/>
      <c r="J950" s="2"/>
    </row>
    <row r="951" spans="1:10" x14ac:dyDescent="0.2">
      <c r="A951" s="2"/>
      <c r="B951" s="2"/>
      <c r="C951" s="2"/>
      <c r="D951" s="2"/>
      <c r="E951" s="2"/>
      <c r="F951" s="2"/>
      <c r="G951" s="2"/>
      <c r="H951" s="2"/>
      <c r="I951" s="2"/>
      <c r="J951" s="2"/>
    </row>
    <row r="952" spans="1:10" x14ac:dyDescent="0.2">
      <c r="A952" s="2"/>
      <c r="B952" s="2"/>
      <c r="C952" s="2"/>
      <c r="D952" s="2"/>
      <c r="E952" s="2"/>
      <c r="F952" s="2"/>
      <c r="G952" s="2"/>
      <c r="H952" s="2"/>
      <c r="I952" s="2"/>
      <c r="J952" s="2"/>
    </row>
    <row r="953" spans="1:10" x14ac:dyDescent="0.2">
      <c r="A953" s="2"/>
      <c r="B953" s="2"/>
      <c r="C953" s="2"/>
      <c r="D953" s="2"/>
      <c r="E953" s="2"/>
      <c r="F953" s="2"/>
      <c r="G953" s="2"/>
      <c r="H953" s="2"/>
      <c r="I953" s="2"/>
      <c r="J953" s="2"/>
    </row>
    <row r="954" spans="1:10" x14ac:dyDescent="0.2">
      <c r="A954" s="2"/>
      <c r="B954" s="2"/>
      <c r="C954" s="2"/>
      <c r="D954" s="2"/>
      <c r="E954" s="2"/>
      <c r="F954" s="2"/>
      <c r="G954" s="2"/>
      <c r="H954" s="2"/>
      <c r="I954" s="2"/>
      <c r="J954" s="2"/>
    </row>
    <row r="955" spans="1:10" x14ac:dyDescent="0.2">
      <c r="A955" s="2"/>
      <c r="B955" s="2"/>
      <c r="C955" s="2"/>
      <c r="D955" s="2"/>
      <c r="E955" s="2"/>
      <c r="F955" s="2"/>
      <c r="G955" s="2"/>
      <c r="H955" s="2"/>
      <c r="I955" s="2"/>
      <c r="J955" s="2"/>
    </row>
    <row r="956" spans="1:10" x14ac:dyDescent="0.2">
      <c r="A956" s="2"/>
      <c r="B956" s="2"/>
      <c r="C956" s="2"/>
      <c r="D956" s="2"/>
      <c r="E956" s="2"/>
      <c r="F956" s="2"/>
      <c r="G956" s="2"/>
      <c r="H956" s="2"/>
      <c r="I956" s="2"/>
      <c r="J956" s="2"/>
    </row>
    <row r="957" spans="1:10" x14ac:dyDescent="0.2">
      <c r="A957" s="2"/>
      <c r="B957" s="2"/>
      <c r="C957" s="2"/>
      <c r="D957" s="2"/>
      <c r="E957" s="2"/>
      <c r="F957" s="2"/>
      <c r="G957" s="2"/>
      <c r="H957" s="2"/>
      <c r="I957" s="2"/>
      <c r="J957" s="2"/>
    </row>
    <row r="958" spans="1:10" x14ac:dyDescent="0.2">
      <c r="A958" s="2"/>
      <c r="B958" s="2"/>
      <c r="C958" s="2"/>
      <c r="D958" s="2"/>
      <c r="E958" s="2"/>
      <c r="F958" s="2"/>
      <c r="G958" s="2"/>
      <c r="H958" s="2"/>
      <c r="I958" s="2"/>
      <c r="J958" s="2"/>
    </row>
    <row r="959" spans="1:10" x14ac:dyDescent="0.2">
      <c r="A959" s="2"/>
      <c r="B959" s="2"/>
      <c r="C959" s="2"/>
      <c r="D959" s="2"/>
      <c r="E959" s="2"/>
      <c r="F959" s="2"/>
      <c r="G959" s="2"/>
      <c r="H959" s="2"/>
      <c r="I959" s="2"/>
      <c r="J959" s="2"/>
    </row>
    <row r="960" spans="1:10" x14ac:dyDescent="0.2">
      <c r="A960" s="2"/>
      <c r="B960" s="2"/>
      <c r="C960" s="2"/>
      <c r="D960" s="2"/>
      <c r="E960" s="2"/>
      <c r="F960" s="2"/>
      <c r="G960" s="2"/>
      <c r="H960" s="2"/>
      <c r="I960" s="2"/>
      <c r="J960" s="2"/>
    </row>
    <row r="961" spans="1:10" x14ac:dyDescent="0.2">
      <c r="A961" s="2"/>
      <c r="B961" s="2"/>
      <c r="C961" s="2"/>
      <c r="D961" s="2"/>
      <c r="E961" s="2"/>
      <c r="F961" s="2"/>
      <c r="G961" s="2"/>
      <c r="H961" s="2"/>
      <c r="I961" s="2"/>
      <c r="J961" s="2"/>
    </row>
    <row r="962" spans="1:10" x14ac:dyDescent="0.2">
      <c r="A962" s="2"/>
      <c r="B962" s="2"/>
      <c r="C962" s="2"/>
      <c r="D962" s="2"/>
      <c r="E962" s="2"/>
      <c r="F962" s="2"/>
      <c r="G962" s="2"/>
      <c r="H962" s="2"/>
      <c r="I962" s="2"/>
      <c r="J962" s="2"/>
    </row>
    <row r="963" spans="1:10" x14ac:dyDescent="0.2">
      <c r="A963" s="2"/>
      <c r="B963" s="2"/>
      <c r="C963" s="2"/>
      <c r="D963" s="2"/>
      <c r="E963" s="2"/>
      <c r="F963" s="2"/>
      <c r="G963" s="2"/>
      <c r="H963" s="2"/>
      <c r="I963" s="2"/>
      <c r="J963" s="2"/>
    </row>
    <row r="964" spans="1:10" x14ac:dyDescent="0.2">
      <c r="A964" s="2"/>
      <c r="B964" s="2"/>
      <c r="C964" s="2"/>
      <c r="D964" s="2"/>
      <c r="E964" s="2"/>
      <c r="F964" s="2"/>
      <c r="G964" s="2"/>
      <c r="H964" s="2"/>
      <c r="I964" s="2"/>
      <c r="J964" s="2"/>
    </row>
    <row r="965" spans="1:10" x14ac:dyDescent="0.2">
      <c r="A965" s="2"/>
      <c r="B965" s="2"/>
      <c r="C965" s="2"/>
      <c r="D965" s="2"/>
      <c r="E965" s="2"/>
      <c r="F965" s="2"/>
      <c r="G965" s="2"/>
      <c r="H965" s="2"/>
      <c r="I965" s="2"/>
      <c r="J965" s="2"/>
    </row>
    <row r="966" spans="1:10" x14ac:dyDescent="0.2">
      <c r="A966" s="2"/>
      <c r="B966" s="2"/>
      <c r="C966" s="2"/>
      <c r="D966" s="2"/>
      <c r="E966" s="2"/>
      <c r="F966" s="2"/>
      <c r="G966" s="2"/>
      <c r="H966" s="2"/>
      <c r="I966" s="2"/>
      <c r="J966" s="2"/>
    </row>
    <row r="967" spans="1:10" x14ac:dyDescent="0.2">
      <c r="A967" s="2"/>
      <c r="B967" s="2"/>
      <c r="C967" s="2"/>
      <c r="D967" s="2"/>
      <c r="E967" s="2"/>
      <c r="F967" s="2"/>
      <c r="G967" s="2"/>
      <c r="H967" s="2"/>
      <c r="I967" s="2"/>
      <c r="J967" s="2"/>
    </row>
    <row r="968" spans="1:10" x14ac:dyDescent="0.2">
      <c r="A968" s="2"/>
      <c r="B968" s="2"/>
      <c r="C968" s="2"/>
      <c r="D968" s="2"/>
      <c r="E968" s="2"/>
      <c r="F968" s="2"/>
      <c r="G968" s="2"/>
      <c r="H968" s="2"/>
      <c r="I968" s="2"/>
      <c r="J968" s="2"/>
    </row>
    <row r="969" spans="1:10" x14ac:dyDescent="0.2">
      <c r="A969" s="2"/>
      <c r="B969" s="2"/>
      <c r="C969" s="2"/>
      <c r="D969" s="2"/>
      <c r="E969" s="2"/>
      <c r="F969" s="2"/>
      <c r="G969" s="2"/>
      <c r="H969" s="2"/>
      <c r="I969" s="2"/>
      <c r="J969" s="2"/>
    </row>
    <row r="970" spans="1:10" x14ac:dyDescent="0.2">
      <c r="A970" s="2"/>
      <c r="B970" s="2"/>
      <c r="C970" s="2"/>
      <c r="D970" s="2"/>
      <c r="E970" s="2"/>
      <c r="F970" s="2"/>
      <c r="G970" s="2"/>
      <c r="H970" s="2"/>
      <c r="I970" s="2"/>
      <c r="J970" s="2"/>
    </row>
    <row r="971" spans="1:10" x14ac:dyDescent="0.2">
      <c r="A971" s="2"/>
      <c r="B971" s="2"/>
      <c r="C971" s="2"/>
      <c r="D971" s="2"/>
      <c r="E971" s="2"/>
      <c r="F971" s="2"/>
      <c r="G971" s="2"/>
      <c r="H971" s="2"/>
      <c r="I971" s="2"/>
      <c r="J971" s="2"/>
    </row>
    <row r="972" spans="1:10" x14ac:dyDescent="0.2">
      <c r="A972" s="2"/>
      <c r="B972" s="2"/>
      <c r="C972" s="2"/>
      <c r="D972" s="2"/>
      <c r="E972" s="2"/>
      <c r="F972" s="2"/>
      <c r="G972" s="2"/>
      <c r="H972" s="2"/>
      <c r="I972" s="2"/>
      <c r="J972" s="2"/>
    </row>
    <row r="973" spans="1:10" x14ac:dyDescent="0.2">
      <c r="A973" s="2"/>
      <c r="B973" s="2"/>
      <c r="C973" s="2"/>
      <c r="D973" s="2"/>
      <c r="E973" s="2"/>
      <c r="F973" s="2"/>
      <c r="G973" s="2"/>
      <c r="H973" s="2"/>
      <c r="I973" s="2"/>
      <c r="J973" s="2"/>
    </row>
    <row r="974" spans="1:10" x14ac:dyDescent="0.2">
      <c r="A974" s="2"/>
      <c r="B974" s="2"/>
      <c r="C974" s="2"/>
      <c r="D974" s="2"/>
      <c r="E974" s="2"/>
      <c r="F974" s="2"/>
      <c r="G974" s="2"/>
      <c r="H974" s="2"/>
      <c r="I974" s="2"/>
      <c r="J974" s="2"/>
    </row>
    <row r="975" spans="1:10" x14ac:dyDescent="0.2">
      <c r="A975" s="2"/>
      <c r="B975" s="2"/>
      <c r="C975" s="2"/>
      <c r="D975" s="2"/>
      <c r="E975" s="2"/>
      <c r="F975" s="2"/>
      <c r="G975" s="2"/>
      <c r="H975" s="2"/>
      <c r="I975" s="2"/>
      <c r="J975" s="2"/>
    </row>
    <row r="976" spans="1:10" x14ac:dyDescent="0.2">
      <c r="A976" s="2"/>
      <c r="B976" s="2"/>
      <c r="C976" s="2"/>
      <c r="D976" s="2"/>
      <c r="E976" s="2"/>
      <c r="F976" s="2"/>
      <c r="G976" s="2"/>
      <c r="H976" s="2"/>
      <c r="I976" s="2"/>
      <c r="J976" s="2"/>
    </row>
    <row r="977" spans="1:10" x14ac:dyDescent="0.2">
      <c r="A977" s="2"/>
      <c r="B977" s="2"/>
      <c r="C977" s="2"/>
      <c r="D977" s="2"/>
      <c r="E977" s="2"/>
      <c r="F977" s="2"/>
      <c r="G977" s="2"/>
      <c r="H977" s="2"/>
      <c r="I977" s="2"/>
      <c r="J977" s="2"/>
    </row>
    <row r="978" spans="1:10" x14ac:dyDescent="0.2">
      <c r="A978" s="2"/>
      <c r="B978" s="2"/>
      <c r="C978" s="2"/>
      <c r="D978" s="2"/>
      <c r="E978" s="2"/>
      <c r="F978" s="2"/>
      <c r="G978" s="2"/>
      <c r="H978" s="2"/>
      <c r="I978" s="2"/>
      <c r="J978" s="2"/>
    </row>
    <row r="979" spans="1:10" x14ac:dyDescent="0.2">
      <c r="A979" s="2"/>
      <c r="B979" s="2"/>
      <c r="C979" s="2"/>
      <c r="D979" s="2"/>
      <c r="E979" s="2"/>
      <c r="F979" s="2"/>
      <c r="G979" s="2"/>
      <c r="H979" s="2"/>
      <c r="I979" s="2"/>
      <c r="J979" s="2"/>
    </row>
    <row r="980" spans="1:10" x14ac:dyDescent="0.2">
      <c r="A980" s="2"/>
      <c r="B980" s="2"/>
      <c r="C980" s="2"/>
      <c r="D980" s="2"/>
      <c r="E980" s="2"/>
      <c r="F980" s="2"/>
      <c r="G980" s="2"/>
      <c r="H980" s="2"/>
      <c r="I980" s="2"/>
      <c r="J980" s="2"/>
    </row>
    <row r="981" spans="1:10" x14ac:dyDescent="0.2">
      <c r="A981" s="2"/>
      <c r="B981" s="2"/>
      <c r="C981" s="2"/>
      <c r="D981" s="2"/>
      <c r="E981" s="2"/>
      <c r="F981" s="2"/>
      <c r="G981" s="2"/>
      <c r="H981" s="2"/>
      <c r="I981" s="2"/>
      <c r="J981" s="2"/>
    </row>
    <row r="982" spans="1:10" x14ac:dyDescent="0.2">
      <c r="A982" s="2"/>
      <c r="B982" s="2"/>
      <c r="C982" s="2"/>
      <c r="D982" s="2"/>
      <c r="E982" s="2"/>
      <c r="F982" s="2"/>
      <c r="G982" s="2"/>
      <c r="H982" s="2"/>
      <c r="I982" s="2"/>
      <c r="J982" s="2"/>
    </row>
    <row r="983" spans="1:10" x14ac:dyDescent="0.2">
      <c r="A983" s="2"/>
      <c r="B983" s="2"/>
      <c r="C983" s="2"/>
      <c r="D983" s="2"/>
      <c r="E983" s="2"/>
      <c r="F983" s="2"/>
      <c r="G983" s="2"/>
      <c r="H983" s="2"/>
      <c r="I983" s="2"/>
      <c r="J983" s="2"/>
    </row>
    <row r="984" spans="1:10" x14ac:dyDescent="0.2">
      <c r="A984" s="2"/>
      <c r="B984" s="2"/>
      <c r="C984" s="2"/>
      <c r="D984" s="2"/>
      <c r="E984" s="2"/>
      <c r="F984" s="2"/>
      <c r="G984" s="2"/>
      <c r="H984" s="2"/>
      <c r="I984" s="2"/>
      <c r="J984" s="2"/>
    </row>
    <row r="985" spans="1:10" x14ac:dyDescent="0.2">
      <c r="A985" s="2"/>
      <c r="B985" s="2"/>
      <c r="C985" s="2"/>
      <c r="D985" s="2"/>
      <c r="E985" s="2"/>
      <c r="F985" s="2"/>
      <c r="G985" s="2"/>
      <c r="H985" s="2"/>
      <c r="I985" s="2"/>
      <c r="J985" s="2"/>
    </row>
    <row r="986" spans="1:10" x14ac:dyDescent="0.2">
      <c r="A986" s="2"/>
      <c r="B986" s="2"/>
      <c r="C986" s="2"/>
      <c r="D986" s="2"/>
      <c r="E986" s="2"/>
      <c r="F986" s="2"/>
      <c r="G986" s="2"/>
      <c r="H986" s="2"/>
      <c r="I986" s="2"/>
      <c r="J986" s="2"/>
    </row>
    <row r="987" spans="1:10" x14ac:dyDescent="0.2">
      <c r="A987" s="2"/>
      <c r="B987" s="2"/>
      <c r="C987" s="2"/>
      <c r="D987" s="2"/>
      <c r="E987" s="2"/>
      <c r="F987" s="2"/>
      <c r="G987" s="2"/>
      <c r="H987" s="2"/>
      <c r="I987" s="2"/>
      <c r="J987" s="2"/>
    </row>
    <row r="988" spans="1:10" x14ac:dyDescent="0.2">
      <c r="A988" s="2"/>
      <c r="B988" s="2"/>
      <c r="C988" s="2"/>
      <c r="D988" s="2"/>
      <c r="E988" s="2"/>
      <c r="F988" s="2"/>
      <c r="G988" s="2"/>
      <c r="H988" s="2"/>
      <c r="I988" s="2"/>
      <c r="J988" s="2"/>
    </row>
    <row r="989" spans="1:10" x14ac:dyDescent="0.2">
      <c r="A989" s="2"/>
      <c r="B989" s="2"/>
      <c r="C989" s="2"/>
      <c r="D989" s="2"/>
      <c r="E989" s="2"/>
      <c r="F989" s="2"/>
      <c r="G989" s="2"/>
      <c r="H989" s="2"/>
      <c r="I989" s="2"/>
      <c r="J989" s="2"/>
    </row>
    <row r="990" spans="1:10" x14ac:dyDescent="0.2">
      <c r="A990" s="2"/>
      <c r="B990" s="2"/>
      <c r="C990" s="2"/>
      <c r="D990" s="2"/>
      <c r="E990" s="2"/>
      <c r="F990" s="2"/>
      <c r="G990" s="2"/>
      <c r="H990" s="2"/>
      <c r="I990" s="2"/>
      <c r="J990" s="2"/>
    </row>
    <row r="991" spans="1:10" x14ac:dyDescent="0.2">
      <c r="A991" s="2"/>
      <c r="B991" s="2"/>
      <c r="C991" s="2"/>
      <c r="D991" s="2"/>
      <c r="E991" s="2"/>
      <c r="F991" s="2"/>
      <c r="G991" s="2"/>
      <c r="H991" s="2"/>
      <c r="I991" s="2"/>
      <c r="J991" s="2"/>
    </row>
    <row r="992" spans="1:10" x14ac:dyDescent="0.2">
      <c r="A992" s="2"/>
      <c r="B992" s="2"/>
      <c r="C992" s="2"/>
      <c r="D992" s="2"/>
      <c r="E992" s="2"/>
      <c r="F992" s="2"/>
      <c r="G992" s="2"/>
      <c r="H992" s="2"/>
      <c r="I992" s="2"/>
      <c r="J992" s="2"/>
    </row>
    <row r="993" spans="1:10" x14ac:dyDescent="0.2">
      <c r="A993" s="2"/>
      <c r="B993" s="2"/>
      <c r="C993" s="2"/>
      <c r="D993" s="2"/>
      <c r="E993" s="2"/>
      <c r="F993" s="2"/>
      <c r="G993" s="2"/>
      <c r="H993" s="2"/>
      <c r="I993" s="2"/>
      <c r="J993" s="2"/>
    </row>
    <row r="994" spans="1:10" x14ac:dyDescent="0.2">
      <c r="A994" s="2"/>
      <c r="B994" s="2"/>
      <c r="C994" s="2"/>
      <c r="D994" s="2"/>
      <c r="E994" s="2"/>
      <c r="F994" s="2"/>
      <c r="G994" s="2"/>
      <c r="H994" s="2"/>
      <c r="I994" s="2"/>
      <c r="J994" s="2"/>
    </row>
    <row r="995" spans="1:10" x14ac:dyDescent="0.2">
      <c r="A995" s="2"/>
      <c r="B995" s="2"/>
      <c r="C995" s="2"/>
      <c r="D995" s="2"/>
      <c r="E995" s="2"/>
      <c r="F995" s="2"/>
      <c r="G995" s="2"/>
      <c r="H995" s="2"/>
      <c r="I995" s="2"/>
      <c r="J995" s="2"/>
    </row>
    <row r="996" spans="1:10" x14ac:dyDescent="0.2">
      <c r="A996" s="2"/>
      <c r="B996" s="2"/>
      <c r="C996" s="2"/>
      <c r="D996" s="2"/>
      <c r="E996" s="2"/>
      <c r="F996" s="2"/>
      <c r="G996" s="2"/>
      <c r="H996" s="2"/>
      <c r="I996" s="2"/>
      <c r="J996" s="2"/>
    </row>
    <row r="997" spans="1:10" x14ac:dyDescent="0.2">
      <c r="A997" s="2"/>
      <c r="B997" s="2"/>
      <c r="C997" s="2"/>
      <c r="D997" s="2"/>
      <c r="E997" s="2"/>
      <c r="F997" s="2"/>
      <c r="G997" s="2"/>
      <c r="H997" s="2"/>
      <c r="I997" s="2"/>
      <c r="J997" s="2"/>
    </row>
    <row r="998" spans="1:10" x14ac:dyDescent="0.2">
      <c r="A998" s="2"/>
      <c r="B998" s="2"/>
      <c r="C998" s="2"/>
      <c r="D998" s="2"/>
      <c r="E998" s="2"/>
      <c r="F998" s="2"/>
      <c r="G998" s="2"/>
      <c r="H998" s="2"/>
      <c r="I998" s="2"/>
      <c r="J998" s="2"/>
    </row>
    <row r="999" spans="1:10" x14ac:dyDescent="0.2">
      <c r="A999" s="2"/>
      <c r="B999" s="2"/>
      <c r="C999" s="2"/>
      <c r="D999" s="2"/>
      <c r="E999" s="2"/>
      <c r="F999" s="2"/>
      <c r="G999" s="2"/>
      <c r="H999" s="2"/>
      <c r="I999" s="2"/>
      <c r="J999" s="2"/>
    </row>
    <row r="1000" spans="1:10" x14ac:dyDescent="0.2">
      <c r="A1000" s="2"/>
      <c r="B1000" s="2"/>
      <c r="C1000" s="2"/>
      <c r="D1000" s="2"/>
      <c r="E1000" s="2"/>
      <c r="F1000" s="2"/>
      <c r="G1000" s="2"/>
      <c r="H1000" s="2"/>
      <c r="I1000" s="2"/>
      <c r="J1000" s="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L997"/>
  <sheetViews>
    <sheetView workbookViewId="0">
      <pane ySplit="1" topLeftCell="A2" activePane="bottomLeft" state="frozen"/>
      <selection pane="bottomLeft" activeCell="B3" sqref="B3"/>
    </sheetView>
  </sheetViews>
  <sheetFormatPr defaultColWidth="12.5703125" defaultRowHeight="15.75" customHeight="1" x14ac:dyDescent="0.2"/>
  <sheetData>
    <row r="1" spans="1:12" x14ac:dyDescent="0.2">
      <c r="A1" s="11" t="str">
        <f ca="1">IFERROR(__xludf.DUMMYFUNCTION("importrange(""https://docs.google.com/spreadsheets/d/1GSvZUILApM0G3VIrkF63_7WIGz8iDHpCMBoe5JuVfXo/edit#gid=0"", ""UNICA!A1:l"")"),"site")</f>
        <v>site</v>
      </c>
      <c r="B1" s="2" t="str">
        <f ca="1">IFERROR(__xludf.DUMMYFUNCTION("""COMPUTED_VALUE"""),"category")</f>
        <v>category</v>
      </c>
      <c r="C1" s="2" t="str">
        <f ca="1">IFERROR(__xludf.DUMMYFUNCTION("""COMPUTED_VALUE"""),"subcategory")</f>
        <v>subcategory</v>
      </c>
      <c r="D1" s="2" t="str">
        <f ca="1">IFERROR(__xludf.DUMMYFUNCTION("""COMPUTED_VALUE"""),"description of the service")</f>
        <v>description of the service</v>
      </c>
      <c r="E1" s="2" t="str">
        <f ca="1">IFERROR(__xludf.DUMMYFUNCTION("""COMPUTED_VALUE"""),"access type")</f>
        <v>access type</v>
      </c>
      <c r="F1" s="2" t="str">
        <f ca="1">IFERROR(__xludf.DUMMYFUNCTION("""COMPUTED_VALUE"""),"status")</f>
        <v>status</v>
      </c>
      <c r="G1" s="2" t="str">
        <f ca="1">IFERROR(__xludf.DUMMYFUNCTION("""COMPUTED_VALUE"""),"contextual information or expertise associated to the service")</f>
        <v>contextual information or expertise associated to the service</v>
      </c>
      <c r="H1" s="2" t="str">
        <f ca="1">IFERROR(__xludf.DUMMYFUNCTION("""COMPUTED_VALUE"""),"keywords of the service")</f>
        <v>keywords of the service</v>
      </c>
      <c r="I1" s="2" t="str">
        <f ca="1">IFERROR(__xludf.DUMMYFUNCTION("""COMPUTED_VALUE"""),"platform name")</f>
        <v>platform name</v>
      </c>
      <c r="J1" s="2" t="str">
        <f ca="1">IFERROR(__xludf.DUMMYFUNCTION("""COMPUTED_VALUE"""),"Note di Giorgio")</f>
        <v>Note di Giorgio</v>
      </c>
      <c r="K1" s="2"/>
      <c r="L1" s="2"/>
    </row>
    <row r="2" spans="1:12" x14ac:dyDescent="0.2">
      <c r="A2" s="2" t="str">
        <f ca="1">IFERROR(__xludf.DUMMYFUNCTION("""COMPUTED_VALUE"""),"UNICA")</f>
        <v>UNICA</v>
      </c>
      <c r="B2" s="2" t="str">
        <f ca="1">IFERROR(__xludf.DUMMYFUNCTION("""COMPUTED_VALUE"""),"Biological resources")</f>
        <v>Biological resources</v>
      </c>
      <c r="C2" s="2" t="str">
        <f ca="1">IFERROR(__xludf.DUMMYFUNCTION("""COMPUTED_VALUE"""),"Marine model organisms")</f>
        <v>Marine model organisms</v>
      </c>
      <c r="D2" s="2" t="str">
        <f ca="1">IFERROR(__xludf.DUMMYFUNCTION("""COMPUTED_VALUE"""),"Pilot-scale production of sea urchin, sea cucumber (embryo, larvae, juveniles, adult)")</f>
        <v>Pilot-scale production of sea urchin, sea cucumber (embryo, larvae, juveniles, adult)</v>
      </c>
      <c r="E2" s="2" t="str">
        <f ca="1">IFERROR(__xludf.DUMMYFUNCTION("""COMPUTED_VALUE"""),"on-site")</f>
        <v>on-site</v>
      </c>
      <c r="F2" s="2" t="str">
        <f ca="1">IFERROR(__xludf.DUMMYFUNCTION("""COMPUTED_VALUE"""),"available")</f>
        <v>available</v>
      </c>
      <c r="G2" s="2" t="str">
        <f ca="1">IFERROR(__xludf.DUMMYFUNCTION("""COMPUTED_VALUE"""),"Collection of broodstock, fertilization, Life Support System for Sea urchin and sea cucumbers embryos/larvae, study of resistance and plasticity towards toxicity compounds")</f>
        <v>Collection of broodstock, fertilization, Life Support System for Sea urchin and sea cucumbers embryos/larvae, study of resistance and plasticity towards toxicity compounds</v>
      </c>
      <c r="H2" s="2" t="str">
        <f ca="1">IFERROR(__xludf.DUMMYFUNCTION("""COMPUTED_VALUE"""),"sea urchin, sea cucumber, broodstock collection, sea urchin embryos, sea cucumber larvae")</f>
        <v>sea urchin, sea cucumber, broodstock collection, sea urchin embryos, sea cucumber larvae</v>
      </c>
      <c r="I2" s="2"/>
      <c r="J2" s="2" t="str">
        <f ca="1">IFERROR(__xludf.DUMMYFUNCTION("""COMPUTED_VALUE"""),"NOT COSTED")</f>
        <v>NOT COSTED</v>
      </c>
      <c r="K2" s="2"/>
      <c r="L2" s="2"/>
    </row>
    <row r="3" spans="1:12" x14ac:dyDescent="0.2">
      <c r="A3" s="2" t="str">
        <f ca="1">IFERROR(__xludf.DUMMYFUNCTION("""COMPUTED_VALUE"""),"UNICA")</f>
        <v>UNICA</v>
      </c>
      <c r="B3" s="2" t="str">
        <f ca="1">IFERROR(__xludf.DUMMYFUNCTION("""COMPUTED_VALUE"""),"Experimental facilities")</f>
        <v>Experimental facilities</v>
      </c>
      <c r="C3" s="2" t="str">
        <f ca="1">IFERROR(__xludf.DUMMYFUNCTION("""COMPUTED_VALUE"""),"Aquaria and tanks")</f>
        <v>Aquaria and tanks</v>
      </c>
      <c r="D3" s="2" t="str">
        <f ca="1">IFERROR(__xludf.DUMMYFUNCTION("""COMPUTED_VALUE"""),"Pilot Hatchery for sea urchin and sea cucumber; Life Support System for juveniles/adults sea urchins and sea cucumber; Fish Housing Facility")</f>
        <v>Pilot Hatchery for sea urchin and sea cucumber; Life Support System for juveniles/adults sea urchins and sea cucumber; Fish Housing Facility</v>
      </c>
      <c r="E3" s="2" t="str">
        <f ca="1">IFERROR(__xludf.DUMMYFUNCTION("""COMPUTED_VALUE"""),"on-site")</f>
        <v>on-site</v>
      </c>
      <c r="F3" s="2" t="str">
        <f ca="1">IFERROR(__xludf.DUMMYFUNCTION("""COMPUTED_VALUE"""),"available")</f>
        <v>available</v>
      </c>
      <c r="G3" s="2" t="str">
        <f ca="1">IFERROR(__xludf.DUMMYFUNCTION("""COMPUTED_VALUE"""),"Biotechnologies (hatchery tanks) and Expertise in rearing larval stage of sea urchins and sea cucumbers (Paracentrotus lividus, Holothuria tubulosa), including food-web production. Fish aquaria comply all the requirements of Legislative Decree 26/2014 on "&amp;"animals welfare")</f>
        <v>Biotechnologies (hatchery tanks) and Expertise in rearing larval stage of sea urchins and sea cucumbers (Paracentrotus lividus, Holothuria tubulosa), including food-web production. Fish aquaria comply all the requirements of Legislative Decree 26/2014 on animals welfare</v>
      </c>
      <c r="H3" s="2" t="str">
        <f ca="1">IFERROR(__xludf.DUMMYFUNCTION("""COMPUTED_VALUE"""),"sea urchin, hatchery tanks, sea cucumbers, food-web production")</f>
        <v>sea urchin, hatchery tanks, sea cucumbers, food-web production</v>
      </c>
      <c r="I3" s="2"/>
      <c r="J3" s="2" t="str">
        <f ca="1">IFERROR(__xludf.DUMMYFUNCTION("""COMPUTED_VALUE"""),"NOT COSTED")</f>
        <v>NOT COSTED</v>
      </c>
      <c r="K3" s="2"/>
      <c r="L3" s="2"/>
    </row>
    <row r="4" spans="1:12" x14ac:dyDescent="0.2">
      <c r="A4" s="2" t="str">
        <f ca="1">IFERROR(__xludf.DUMMYFUNCTION("""COMPUTED_VALUE"""),"UNICA")</f>
        <v>UNICA</v>
      </c>
      <c r="B4" s="2" t="str">
        <f ca="1">IFERROR(__xludf.DUMMYFUNCTION("""COMPUTED_VALUE"""),"Technology platforms")</f>
        <v>Technology platforms</v>
      </c>
      <c r="C4" s="2" t="str">
        <f ca="1">IFERROR(__xludf.DUMMYFUNCTION("""COMPUTED_VALUE"""),"Imaging")</f>
        <v>Imaging</v>
      </c>
      <c r="D4" s="2" t="str">
        <f ca="1">IFERROR(__xludf.DUMMYFUNCTION("""COMPUTED_VALUE"""),"Environmental Scanning Electron Microscopy (ESEM)")</f>
        <v>Environmental Scanning Electron Microscopy (ESEM)</v>
      </c>
      <c r="E4" s="2" t="str">
        <f ca="1">IFERROR(__xludf.DUMMYFUNCTION("""COMPUTED_VALUE"""),"on-site")</f>
        <v>on-site</v>
      </c>
      <c r="F4" s="2" t="str">
        <f ca="1">IFERROR(__xludf.DUMMYFUNCTION("""COMPUTED_VALUE"""),"available")</f>
        <v>available</v>
      </c>
      <c r="G4" s="2" t="str">
        <f ca="1">IFERROR(__xludf.DUMMYFUNCTION("""COMPUTED_VALUE"""),"Electron microscopies are used for material imaging, elemental composition analysis and for material characterization, down to the nanometer scale.")</f>
        <v>Electron microscopies are used for material imaging, elemental composition analysis and for material characterization, down to the nanometer scale.</v>
      </c>
      <c r="H4" s="2"/>
      <c r="I4" s="12" t="str">
        <f ca="1">IFERROR(__xludf.DUMMYFUNCTION("""COMPUTED_VALUE"""),"https://unica.it/unica/en/cesar.page")</f>
        <v>https://unica.it/unica/en/cesar.page</v>
      </c>
      <c r="J4" s="2" t="str">
        <f ca="1">IFERROR(__xludf.DUMMYFUNCTION("""COMPUTED_VALUE"""),"NOT COSTED")</f>
        <v>NOT COSTED</v>
      </c>
      <c r="K4" s="2"/>
      <c r="L4" s="2"/>
    </row>
    <row r="5" spans="1:12" x14ac:dyDescent="0.2">
      <c r="A5" s="2" t="str">
        <f ca="1">IFERROR(__xludf.DUMMYFUNCTION("""COMPUTED_VALUE"""),"UNICA")</f>
        <v>UNICA</v>
      </c>
      <c r="B5" s="2" t="str">
        <f ca="1">IFERROR(__xludf.DUMMYFUNCTION("""COMPUTED_VALUE"""),"Experimental facilities")</f>
        <v>Experimental facilities</v>
      </c>
      <c r="C5" s="2" t="str">
        <f ca="1">IFERROR(__xludf.DUMMYFUNCTION("""COMPUTED_VALUE"""),"Wet laboratories")</f>
        <v>Wet laboratories</v>
      </c>
      <c r="D5" s="2" t="str">
        <f ca="1">IFERROR(__xludf.DUMMYFUNCTION("""COMPUTED_VALUE"""),"PIT Tagging technologies")</f>
        <v>PIT Tagging technologies</v>
      </c>
      <c r="E5" s="2" t="str">
        <f ca="1">IFERROR(__xludf.DUMMYFUNCTION("""COMPUTED_VALUE"""),"on-site")</f>
        <v>on-site</v>
      </c>
      <c r="F5" s="2" t="str">
        <f ca="1">IFERROR(__xludf.DUMMYFUNCTION("""COMPUTED_VALUE"""),"available")</f>
        <v>available</v>
      </c>
      <c r="G5" s="2" t="str">
        <f ca="1">IFERROR(__xludf.DUMMYFUNCTION("""COMPUTED_VALUE"""),"Tagging equipment (BIOMARKand expertise for tagging wild and reared aquatic organisms, fish and invertebrates (PIT tags, tag implanters, underwater readers, pass-by aquatic antennas, tissue sampling unit, software &amp; drivers)")</f>
        <v>Tagging equipment (BIOMARKand expertise for tagging wild and reared aquatic organisms, fish and invertebrates (PIT tags, tag implanters, underwater readers, pass-by aquatic antennas, tissue sampling unit, software &amp; drivers)</v>
      </c>
      <c r="H5" s="2" t="str">
        <f ca="1">IFERROR(__xludf.DUMMYFUNCTION("""COMPUTED_VALUE"""),"PIT Tagging, BIOMARK, wild animals tagging, aquatic organisms, PIT tags, tag implanters, underwater readers, pass-by aquatic antennas, tissue sampling unit, software &amp; drivers")</f>
        <v>PIT Tagging, BIOMARK, wild animals tagging, aquatic organisms, PIT tags, tag implanters, underwater readers, pass-by aquatic antennas, tissue sampling unit, software &amp; drivers</v>
      </c>
      <c r="I5" s="2"/>
      <c r="J5" s="2" t="str">
        <f ca="1">IFERROR(__xludf.DUMMYFUNCTION("""COMPUTED_VALUE"""),"NOT COSTED")</f>
        <v>NOT COSTED</v>
      </c>
      <c r="K5" s="2"/>
      <c r="L5" s="2"/>
    </row>
    <row r="6" spans="1:12" x14ac:dyDescent="0.2">
      <c r="A6" s="2" t="str">
        <f ca="1">IFERROR(__xludf.DUMMYFUNCTION("""COMPUTED_VALUE"""),"UNICA")</f>
        <v>UNICA</v>
      </c>
      <c r="B6" s="2" t="str">
        <f ca="1">IFERROR(__xludf.DUMMYFUNCTION("""COMPUTED_VALUE"""),"Biological resources")</f>
        <v>Biological resources</v>
      </c>
      <c r="C6" s="2" t="str">
        <f ca="1">IFERROR(__xludf.DUMMYFUNCTION("""COMPUTED_VALUE"""),"Taxonomic services")</f>
        <v>Taxonomic services</v>
      </c>
      <c r="D6" s="2" t="str">
        <f ca="1">IFERROR(__xludf.DUMMYFUNCTION("""COMPUTED_VALUE"""),"Fish Analytical Laboratory")</f>
        <v>Fish Analytical Laboratory</v>
      </c>
      <c r="E6" s="2" t="str">
        <f ca="1">IFERROR(__xludf.DUMMYFUNCTION("""COMPUTED_VALUE"""),"on-site")</f>
        <v>on-site</v>
      </c>
      <c r="F6" s="2" t="str">
        <f ca="1">IFERROR(__xludf.DUMMYFUNCTION("""COMPUTED_VALUE"""),"available")</f>
        <v>available</v>
      </c>
      <c r="G6" s="2" t="str">
        <f ca="1">IFERROR(__xludf.DUMMYFUNCTION("""COMPUTED_VALUE"""),"Fish otolith examination and analysis; morphometry, shape analysis, external texture organization, fish age determination, fish stock assessment")</f>
        <v>Fish otolith examination and analysis; morphometry, shape analysis, external texture organization, fish age determination, fish stock assessment</v>
      </c>
      <c r="H6" s="2" t="str">
        <f ca="1">IFERROR(__xludf.DUMMYFUNCTION("""COMPUTED_VALUE"""),"otolith, morphometry, shape, external texture organization, fish age determination, fish stock assessment")</f>
        <v>otolith, morphometry, shape, external texture organization, fish age determination, fish stock assessment</v>
      </c>
      <c r="I6" s="2"/>
      <c r="J6" s="2" t="str">
        <f ca="1">IFERROR(__xludf.DUMMYFUNCTION("""COMPUTED_VALUE"""),"NOT COSTED")</f>
        <v>NOT COSTED</v>
      </c>
      <c r="K6" s="2"/>
      <c r="L6" s="2"/>
    </row>
    <row r="7" spans="1:12" x14ac:dyDescent="0.2">
      <c r="A7" s="2"/>
      <c r="B7" s="2"/>
      <c r="C7" s="2"/>
      <c r="D7" s="2"/>
      <c r="E7" s="2"/>
      <c r="F7" s="2"/>
      <c r="G7" s="2"/>
      <c r="H7" s="2"/>
      <c r="I7" s="2"/>
      <c r="J7" s="2"/>
      <c r="K7" s="2"/>
      <c r="L7" s="2"/>
    </row>
    <row r="8" spans="1:12" x14ac:dyDescent="0.2">
      <c r="A8" s="2"/>
      <c r="B8" s="2"/>
      <c r="C8" s="2"/>
      <c r="D8" s="2"/>
      <c r="E8" s="2"/>
      <c r="F8" s="2"/>
      <c r="G8" s="2"/>
      <c r="H8" s="2"/>
      <c r="I8" s="2"/>
      <c r="J8" s="2"/>
      <c r="K8" s="2"/>
      <c r="L8" s="2"/>
    </row>
    <row r="9" spans="1:12" x14ac:dyDescent="0.2">
      <c r="A9" s="2"/>
      <c r="B9" s="2"/>
      <c r="C9" s="2"/>
      <c r="D9" s="2"/>
      <c r="E9" s="2"/>
      <c r="F9" s="2"/>
      <c r="G9" s="2"/>
      <c r="H9" s="2"/>
      <c r="I9" s="2"/>
      <c r="J9" s="2"/>
      <c r="K9" s="2"/>
      <c r="L9" s="2"/>
    </row>
    <row r="10" spans="1:12" x14ac:dyDescent="0.2">
      <c r="A10" s="2"/>
      <c r="B10" s="2"/>
      <c r="C10" s="2"/>
      <c r="D10" s="2"/>
      <c r="E10" s="2"/>
      <c r="F10" s="2"/>
      <c r="G10" s="2"/>
      <c r="H10" s="2"/>
      <c r="I10" s="2"/>
      <c r="J10" s="2"/>
      <c r="K10" s="2"/>
      <c r="L10" s="2"/>
    </row>
    <row r="11" spans="1:12" x14ac:dyDescent="0.2">
      <c r="A11" s="2"/>
      <c r="B11" s="2"/>
      <c r="C11" s="2"/>
      <c r="D11" s="2"/>
      <c r="E11" s="2"/>
      <c r="F11" s="2"/>
      <c r="G11" s="2"/>
      <c r="H11" s="2"/>
      <c r="I11" s="2"/>
      <c r="J11" s="2"/>
      <c r="K11" s="2"/>
      <c r="L11" s="2"/>
    </row>
    <row r="12" spans="1:12" x14ac:dyDescent="0.2">
      <c r="A12" s="2"/>
      <c r="B12" s="2"/>
      <c r="C12" s="2"/>
      <c r="D12" s="2"/>
      <c r="E12" s="2"/>
      <c r="F12" s="2"/>
      <c r="G12" s="2"/>
      <c r="H12" s="2"/>
      <c r="I12" s="2"/>
      <c r="J12" s="2"/>
      <c r="K12" s="2"/>
      <c r="L12" s="2"/>
    </row>
    <row r="13" spans="1:12" x14ac:dyDescent="0.2">
      <c r="A13" s="2"/>
      <c r="B13" s="2"/>
      <c r="C13" s="2"/>
      <c r="D13" s="2"/>
      <c r="E13" s="2"/>
      <c r="F13" s="2"/>
      <c r="G13" s="2"/>
      <c r="H13" s="2"/>
      <c r="I13" s="2"/>
      <c r="J13" s="2"/>
      <c r="K13" s="2"/>
      <c r="L13" s="2"/>
    </row>
    <row r="14" spans="1:12" x14ac:dyDescent="0.2">
      <c r="A14" s="2"/>
      <c r="B14" s="2"/>
      <c r="C14" s="2"/>
      <c r="D14" s="2"/>
      <c r="E14" s="2"/>
      <c r="F14" s="2"/>
      <c r="G14" s="2"/>
      <c r="H14" s="2"/>
      <c r="I14" s="2"/>
      <c r="J14" s="2"/>
      <c r="K14" s="2"/>
      <c r="L14" s="2"/>
    </row>
    <row r="15" spans="1:12" x14ac:dyDescent="0.2">
      <c r="A15" s="2"/>
      <c r="B15" s="2"/>
      <c r="C15" s="2"/>
      <c r="D15" s="2"/>
      <c r="E15" s="2"/>
      <c r="F15" s="2"/>
      <c r="G15" s="2"/>
      <c r="H15" s="2"/>
      <c r="I15" s="2"/>
      <c r="J15" s="2"/>
      <c r="K15" s="2"/>
      <c r="L15" s="2"/>
    </row>
    <row r="16" spans="1:12"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sheetData>
  <hyperlinks>
    <hyperlink ref="I4" r:id="rId1" display="https://unica.it/unica/en/cesar.page" xr:uid="{00000000-0004-0000-0C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Z1000"/>
  <sheetViews>
    <sheetView workbookViewId="0">
      <pane ySplit="1" topLeftCell="A2" activePane="bottomLeft" state="frozen"/>
      <selection pane="bottomLeft" activeCell="B3" sqref="B3"/>
    </sheetView>
  </sheetViews>
  <sheetFormatPr defaultColWidth="12.5703125" defaultRowHeight="15.75" customHeight="1" x14ac:dyDescent="0.2"/>
  <sheetData>
    <row r="1" spans="1:26" x14ac:dyDescent="0.2">
      <c r="A1" s="3" t="str">
        <f ca="1">IFERROR(__xludf.DUMMYFUNCTION("importrange(""https://docs.google.com/spreadsheets/d/1BetmtYefBG7D5w76BppDIrvwV9s527NeJwY_HLpBGA4/edit#gid=0"", ""UNIFE!A1:l"")"),"site")</f>
        <v>site</v>
      </c>
      <c r="B1" s="1" t="str">
        <f ca="1">IFERROR(__xludf.DUMMYFUNCTION("""COMPUTED_VALUE"""),"category")</f>
        <v>category</v>
      </c>
      <c r="C1" s="1" t="str">
        <f ca="1">IFERROR(__xludf.DUMMYFUNCTION("""COMPUTED_VALUE"""),"subcategory")</f>
        <v>subcategory</v>
      </c>
      <c r="D1" s="1" t="str">
        <f ca="1">IFERROR(__xludf.DUMMYFUNCTION("""COMPUTED_VALUE"""),"description of the service")</f>
        <v>description of the service</v>
      </c>
      <c r="E1" s="1" t="str">
        <f ca="1">IFERROR(__xludf.DUMMYFUNCTION("""COMPUTED_VALUE"""),"access type")</f>
        <v>access type</v>
      </c>
      <c r="F1" s="1" t="str">
        <f ca="1">IFERROR(__xludf.DUMMYFUNCTION("""COMPUTED_VALUE"""),"status")</f>
        <v>status</v>
      </c>
      <c r="G1" s="1" t="str">
        <f ca="1">IFERROR(__xludf.DUMMYFUNCTION("""COMPUTED_VALUE"""),"contextual information or expertise associated to the service")</f>
        <v>contextual information or expertise associated to the service</v>
      </c>
      <c r="H1" s="1" t="str">
        <f ca="1">IFERROR(__xludf.DUMMYFUNCTION("""COMPUTED_VALUE"""),"keywords of the service")</f>
        <v>keywords of the service</v>
      </c>
      <c r="I1" s="1" t="str">
        <f ca="1">IFERROR(__xludf.DUMMYFUNCTION("""COMPUTED_VALUE"""),"platform name")</f>
        <v>platform name</v>
      </c>
      <c r="J1" s="1" t="str">
        <f ca="1">IFERROR(__xludf.DUMMYFUNCTION("""COMPUTED_VALUE"""),"Note di Giorgio")</f>
        <v>Note di Giorgio</v>
      </c>
      <c r="K1" s="1"/>
      <c r="L1" s="1"/>
      <c r="M1" s="1"/>
      <c r="N1" s="1"/>
      <c r="O1" s="1"/>
      <c r="P1" s="1"/>
      <c r="Q1" s="1"/>
      <c r="R1" s="1"/>
      <c r="S1" s="1"/>
      <c r="T1" s="1"/>
      <c r="U1" s="1"/>
      <c r="V1" s="1"/>
      <c r="W1" s="1"/>
      <c r="X1" s="1"/>
      <c r="Y1" s="1"/>
      <c r="Z1" s="1"/>
    </row>
    <row r="2" spans="1:26" x14ac:dyDescent="0.2">
      <c r="A2" s="2" t="str">
        <f ca="1">IFERROR(__xludf.DUMMYFUNCTION("""COMPUTED_VALUE"""),"UNIFE")</f>
        <v>UNIFE</v>
      </c>
      <c r="B2" s="2" t="str">
        <f ca="1">IFERROR(__xludf.DUMMYFUNCTION("""COMPUTED_VALUE"""),"Ecosystem access")</f>
        <v>Ecosystem access</v>
      </c>
      <c r="C2" s="2" t="str">
        <f ca="1">IFERROR(__xludf.DUMMYFUNCTION("""COMPUTED_VALUE"""),"Sampling equipment")</f>
        <v>Sampling equipment</v>
      </c>
      <c r="D2" s="2" t="str">
        <f ca="1">IFERROR(__xludf.DUMMYFUNCTION("""COMPUTED_VALUE"""),"Access to equipment for environmental sampling in the Po Delta (Underwater drone, manta trawl, van veen grab, corers, water samplers). ")</f>
        <v xml:space="preserve">Access to equipment for environmental sampling in the Po Delta (Underwater drone, manta trawl, van veen grab, corers, water samplers). </v>
      </c>
      <c r="E2" s="2" t="str">
        <f ca="1">IFERROR(__xludf.DUMMYFUNCTION("""COMPUTED_VALUE"""),"on-site")</f>
        <v>on-site</v>
      </c>
      <c r="F2" s="2" t="str">
        <f ca="1">IFERROR(__xludf.DUMMYFUNCTION("""COMPUTED_VALUE"""),"not available")</f>
        <v>not available</v>
      </c>
      <c r="G2" s="2" t="str">
        <f ca="1">IFERROR(__xludf.DUMMYFUNCTION("""COMPUTED_VALUE"""),"Contextual sorting, identification and isolation of phytoplankton, zooplankton, benthos from natural samples is available on request. Contextual microscopy use (Scanning electron microscopy ZEISS EVO40, Transmission electron microscopy Hitachi H800, Zeiss"&amp;" EM 900, Atomic force microscopy Nanoscope III) is available on request.")</f>
        <v>Contextual sorting, identification and isolation of phytoplankton, zooplankton, benthos from natural samples is available on request. Contextual microscopy use (Scanning electron microscopy ZEISS EVO40, Transmission electron microscopy Hitachi H800, Zeiss EM 900, Atomic force microscopy Nanoscope III) is available on request.</v>
      </c>
      <c r="H2" s="2" t="str">
        <f ca="1">IFERROR(__xludf.DUMMYFUNCTION("""COMPUTED_VALUE"""),"Sampling equipment, Po Delta, Underwater drone, manta trawl, van veen grab, corers, water samplers, hytoplankton, zooplankton, benthos")</f>
        <v>Sampling equipment, Po Delta, Underwater drone, manta trawl, van veen grab, corers, water samplers, hytoplankton, zooplankton, benthos</v>
      </c>
      <c r="I2" s="2"/>
      <c r="J2" s="2"/>
      <c r="K2" s="2"/>
      <c r="L2" s="2"/>
    </row>
    <row r="3" spans="1:26" x14ac:dyDescent="0.2">
      <c r="A3" s="2" t="str">
        <f ca="1">IFERROR(__xludf.DUMMYFUNCTION("""COMPUTED_VALUE"""),"UNIFE")</f>
        <v>UNIFE</v>
      </c>
      <c r="B3" s="2" t="str">
        <f ca="1">IFERROR(__xludf.DUMMYFUNCTION("""COMPUTED_VALUE"""),"Biological resources")</f>
        <v>Biological resources</v>
      </c>
      <c r="C3" s="2" t="str">
        <f ca="1">IFERROR(__xludf.DUMMYFUNCTION("""COMPUTED_VALUE"""),"Rearing of aquaculture animals")</f>
        <v>Rearing of aquaculture animals</v>
      </c>
      <c r="D3" s="2" t="str">
        <f ca="1">IFERROR(__xludf.DUMMYFUNCTION("""COMPUTED_VALUE"""),"Access to rearing facility of bivalves of commercial interest (clams, oysters, mussels) for aquaculture application and studies (physiological responses, SFG, pollutants accumulation).")</f>
        <v>Access to rearing facility of bivalves of commercial interest (clams, oysters, mussels) for aquaculture application and studies (physiological responses, SFG, pollutants accumulation).</v>
      </c>
      <c r="E3" s="2" t="str">
        <f ca="1">IFERROR(__xludf.DUMMYFUNCTION("""COMPUTED_VALUE"""),"on-site")</f>
        <v>on-site</v>
      </c>
      <c r="F3" s="2" t="str">
        <f ca="1">IFERROR(__xludf.DUMMYFUNCTION("""COMPUTED_VALUE"""),"available")</f>
        <v>available</v>
      </c>
      <c r="G3" s="2" t="str">
        <f ca="1">IFERROR(__xludf.DUMMYFUNCTION("""COMPUTED_VALUE"""),"Contextual microscopy use (Scanning electron microscopy ZEISS EVO40, Transmission electron microscopy Hitachi H800, Zeiss EM 900, Atomic force microscopy Nanoscope III) is available on request. The aquaculture farm uses sensor network integrated with mobi"&amp;"le application.")</f>
        <v>Contextual microscopy use (Scanning electron microscopy ZEISS EVO40, Transmission electron microscopy Hitachi H800, Zeiss EM 900, Atomic force microscopy Nanoscope III) is available on request. The aquaculture farm uses sensor network integrated with mobile application.</v>
      </c>
      <c r="H3" s="2" t="str">
        <f ca="1">IFERROR(__xludf.DUMMYFUNCTION("""COMPUTED_VALUE"""),"bivalve rearing, aquaculture, clams, oysters, mussels, physiological responses, SFG, pollutants accumulation, microscopy, aquaculture digitalization, sensor network")</f>
        <v>bivalve rearing, aquaculture, clams, oysters, mussels, physiological responses, SFG, pollutants accumulation, microscopy, aquaculture digitalization, sensor network</v>
      </c>
      <c r="I3" s="2"/>
      <c r="J3" s="2" t="str">
        <f ca="1">IFERROR(__xludf.DUMMYFUNCTION("""COMPUTED_VALUE"""),"NOT COSTED")</f>
        <v>NOT COSTED</v>
      </c>
      <c r="K3" s="2"/>
      <c r="L3" s="2"/>
    </row>
    <row r="4" spans="1:26" x14ac:dyDescent="0.2">
      <c r="A4" s="2" t="str">
        <f ca="1">IFERROR(__xludf.DUMMYFUNCTION("""COMPUTED_VALUE"""),"UNIFE")</f>
        <v>UNIFE</v>
      </c>
      <c r="B4" s="2" t="str">
        <f ca="1">IFERROR(__xludf.DUMMYFUNCTION("""COMPUTED_VALUE"""),"Biological resources")</f>
        <v>Biological resources</v>
      </c>
      <c r="C4" s="2" t="str">
        <f ca="1">IFERROR(__xludf.DUMMYFUNCTION("""COMPUTED_VALUE"""),"Organisms collected in the wild")</f>
        <v>Organisms collected in the wild</v>
      </c>
      <c r="D4" s="2" t="str">
        <f ca="1">IFERROR(__xludf.DUMMYFUNCTION("""COMPUTED_VALUE"""),"Oysters, mussels, clams, fish, macrobenthos and macroalgae from Po Delta lagoons")</f>
        <v>Oysters, mussels, clams, fish, macrobenthos and macroalgae from Po Delta lagoons</v>
      </c>
      <c r="E4" s="2" t="str">
        <f ca="1">IFERROR(__xludf.DUMMYFUNCTION("""COMPUTED_VALUE"""),"on-site and remote")</f>
        <v>on-site and remote</v>
      </c>
      <c r="F4" s="2" t="str">
        <f ca="1">IFERROR(__xludf.DUMMYFUNCTION("""COMPUTED_VALUE"""),"available")</f>
        <v>available</v>
      </c>
      <c r="G4" s="2"/>
      <c r="H4" s="2"/>
      <c r="I4" s="2"/>
      <c r="J4" s="2" t="str">
        <f ca="1">IFERROR(__xludf.DUMMYFUNCTION("""COMPUTED_VALUE"""),"NOT COSTED")</f>
        <v>NOT COSTED</v>
      </c>
      <c r="K4" s="2"/>
      <c r="L4" s="2"/>
    </row>
    <row r="5" spans="1:26" x14ac:dyDescent="0.2">
      <c r="A5" s="2"/>
      <c r="B5" s="2"/>
      <c r="C5" s="2"/>
      <c r="D5" s="2"/>
      <c r="E5" s="2"/>
      <c r="F5" s="2"/>
      <c r="G5" s="2"/>
      <c r="H5" s="2"/>
      <c r="I5" s="2"/>
      <c r="J5" s="2"/>
      <c r="K5" s="2"/>
      <c r="L5" s="2"/>
    </row>
    <row r="6" spans="1:26" x14ac:dyDescent="0.2">
      <c r="A6" s="2"/>
      <c r="B6" s="2"/>
      <c r="C6" s="2"/>
      <c r="D6" s="2"/>
      <c r="E6" s="2"/>
      <c r="F6" s="2"/>
      <c r="G6" s="2"/>
      <c r="H6" s="2"/>
      <c r="I6" s="2"/>
      <c r="J6" s="2"/>
      <c r="K6" s="2"/>
      <c r="L6" s="2"/>
    </row>
    <row r="7" spans="1:26" x14ac:dyDescent="0.2">
      <c r="A7" s="2"/>
      <c r="B7" s="2"/>
      <c r="C7" s="2"/>
      <c r="D7" s="2"/>
      <c r="E7" s="2"/>
      <c r="F7" s="2"/>
      <c r="G7" s="2"/>
      <c r="H7" s="2"/>
      <c r="I7" s="2"/>
      <c r="J7" s="2"/>
      <c r="K7" s="2"/>
      <c r="L7" s="2"/>
    </row>
    <row r="8" spans="1:26" x14ac:dyDescent="0.2">
      <c r="A8" s="2"/>
      <c r="B8" s="2"/>
      <c r="C8" s="2"/>
      <c r="D8" s="2"/>
      <c r="E8" s="2"/>
      <c r="F8" s="2"/>
      <c r="G8" s="2"/>
      <c r="H8" s="2"/>
      <c r="I8" s="2"/>
      <c r="J8" s="2"/>
      <c r="K8" s="2"/>
      <c r="L8" s="2"/>
    </row>
    <row r="9" spans="1:26" x14ac:dyDescent="0.2">
      <c r="A9" s="2"/>
      <c r="B9" s="2"/>
      <c r="C9" s="2"/>
      <c r="D9" s="2"/>
      <c r="E9" s="2"/>
      <c r="F9" s="2"/>
      <c r="G9" s="2"/>
      <c r="H9" s="2"/>
      <c r="I9" s="2"/>
      <c r="J9" s="2"/>
      <c r="K9" s="2"/>
      <c r="L9" s="2"/>
    </row>
    <row r="10" spans="1:26" x14ac:dyDescent="0.2">
      <c r="A10" s="2"/>
      <c r="B10" s="2"/>
      <c r="C10" s="2"/>
      <c r="D10" s="2"/>
      <c r="E10" s="2"/>
      <c r="F10" s="2"/>
      <c r="G10" s="2"/>
      <c r="H10" s="2"/>
      <c r="I10" s="2"/>
      <c r="J10" s="2"/>
      <c r="K10" s="2"/>
      <c r="L10" s="2"/>
    </row>
    <row r="11" spans="1:26" x14ac:dyDescent="0.2">
      <c r="A11" s="2"/>
      <c r="B11" s="2"/>
      <c r="C11" s="2"/>
      <c r="D11" s="2"/>
      <c r="E11" s="2"/>
      <c r="F11" s="2"/>
      <c r="G11" s="2"/>
      <c r="H11" s="2"/>
      <c r="I11" s="2"/>
      <c r="J11" s="2"/>
      <c r="K11" s="2"/>
      <c r="L11" s="2"/>
    </row>
    <row r="12" spans="1:26" x14ac:dyDescent="0.2">
      <c r="A12" s="2"/>
      <c r="B12" s="2"/>
      <c r="C12" s="2"/>
      <c r="D12" s="2"/>
      <c r="E12" s="2"/>
      <c r="F12" s="2"/>
      <c r="G12" s="2"/>
      <c r="H12" s="2"/>
      <c r="I12" s="2"/>
      <c r="J12" s="2"/>
      <c r="K12" s="2"/>
      <c r="L12" s="2"/>
    </row>
    <row r="13" spans="1:26" x14ac:dyDescent="0.2">
      <c r="A13" s="2"/>
      <c r="B13" s="2"/>
      <c r="C13" s="2"/>
      <c r="D13" s="2"/>
      <c r="E13" s="2"/>
      <c r="F13" s="2"/>
      <c r="G13" s="2"/>
      <c r="H13" s="2"/>
      <c r="I13" s="2"/>
      <c r="J13" s="2"/>
      <c r="K13" s="2"/>
      <c r="L13" s="2"/>
    </row>
    <row r="14" spans="1:26" x14ac:dyDescent="0.2">
      <c r="A14" s="2"/>
      <c r="B14" s="2"/>
      <c r="C14" s="2"/>
      <c r="D14" s="2"/>
      <c r="E14" s="2"/>
      <c r="F14" s="2"/>
      <c r="G14" s="2"/>
      <c r="H14" s="2"/>
      <c r="I14" s="2"/>
      <c r="J14" s="2"/>
      <c r="K14" s="2"/>
      <c r="L14" s="2"/>
    </row>
    <row r="15" spans="1:26" x14ac:dyDescent="0.2">
      <c r="A15" s="2"/>
      <c r="B15" s="2"/>
      <c r="C15" s="2"/>
      <c r="D15" s="2"/>
      <c r="E15" s="2"/>
      <c r="F15" s="2"/>
      <c r="G15" s="2"/>
      <c r="H15" s="2"/>
      <c r="I15" s="2"/>
      <c r="J15" s="2"/>
      <c r="K15" s="2"/>
      <c r="L15" s="2"/>
    </row>
    <row r="16" spans="1:26"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row r="998" spans="1:12" x14ac:dyDescent="0.2">
      <c r="A998" s="2"/>
      <c r="B998" s="2"/>
      <c r="C998" s="2"/>
      <c r="D998" s="2"/>
      <c r="E998" s="2"/>
      <c r="F998" s="2"/>
      <c r="G998" s="2"/>
      <c r="H998" s="2"/>
      <c r="I998" s="2"/>
      <c r="J998" s="2"/>
      <c r="K998" s="2"/>
      <c r="L998" s="2"/>
    </row>
    <row r="999" spans="1:12" x14ac:dyDescent="0.2">
      <c r="A999" s="2"/>
      <c r="B999" s="2"/>
      <c r="C999" s="2"/>
      <c r="D999" s="2"/>
      <c r="E999" s="2"/>
      <c r="F999" s="2"/>
      <c r="G999" s="2"/>
      <c r="H999" s="2"/>
      <c r="I999" s="2"/>
      <c r="J999" s="2"/>
      <c r="K999" s="2"/>
      <c r="L999" s="2"/>
    </row>
    <row r="1000" spans="1:12" x14ac:dyDescent="0.2">
      <c r="A1000" s="2"/>
      <c r="B1000" s="2"/>
      <c r="C1000" s="2"/>
      <c r="D1000" s="2"/>
      <c r="E1000" s="2"/>
      <c r="F1000" s="2"/>
      <c r="G1000" s="2"/>
      <c r="H1000" s="2"/>
      <c r="I1000" s="2"/>
      <c r="J1000" s="2"/>
      <c r="K1000" s="2"/>
      <c r="L1000" s="2"/>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AA974"/>
  <sheetViews>
    <sheetView workbookViewId="0">
      <pane ySplit="1" topLeftCell="A2" activePane="bottomLeft" state="frozen"/>
      <selection pane="bottomLeft" activeCell="B3" sqref="B3"/>
    </sheetView>
  </sheetViews>
  <sheetFormatPr defaultColWidth="12.5703125" defaultRowHeight="15.75" customHeight="1" x14ac:dyDescent="0.2"/>
  <cols>
    <col min="1" max="1" width="6.42578125" customWidth="1"/>
    <col min="2" max="2" width="24.7109375" customWidth="1"/>
    <col min="3" max="3" width="22.5703125" customWidth="1"/>
    <col min="7" max="7" width="24.140625" customWidth="1"/>
  </cols>
  <sheetData>
    <row r="1" spans="1:27" x14ac:dyDescent="0.2">
      <c r="A1" s="3" t="str">
        <f ca="1">IFERROR(__xludf.DUMMYFUNCTION("IMPORTRANGE(""https://docs.google.com/spreadsheets/d/1Zk6YYv3TkpJfzDqmidCsbT4xOSzA2RCVJ5pOVUdKThM/edit#gid=0"", ""UNIME!A1:L"")"),"site")</f>
        <v>site</v>
      </c>
      <c r="B1" s="4" t="str">
        <f ca="1">IFERROR(__xludf.DUMMYFUNCTION("""COMPUTED_VALUE"""),"category")</f>
        <v>category</v>
      </c>
      <c r="C1" s="4" t="str">
        <f ca="1">IFERROR(__xludf.DUMMYFUNCTION("""COMPUTED_VALUE"""),"subcategory")</f>
        <v>subcategory</v>
      </c>
      <c r="D1" s="4" t="str">
        <f ca="1">IFERROR(__xludf.DUMMYFUNCTION("""COMPUTED_VALUE"""),"description of the service")</f>
        <v>description of the service</v>
      </c>
      <c r="E1" s="4" t="str">
        <f ca="1">IFERROR(__xludf.DUMMYFUNCTION("""COMPUTED_VALUE"""),"access type")</f>
        <v>access type</v>
      </c>
      <c r="F1" s="4" t="str">
        <f ca="1">IFERROR(__xludf.DUMMYFUNCTION("""COMPUTED_VALUE"""),"status")</f>
        <v>status</v>
      </c>
      <c r="G1" s="4" t="str">
        <f ca="1">IFERROR(__xludf.DUMMYFUNCTION("""COMPUTED_VALUE"""),"contextual information or expertise associated to the service")</f>
        <v>contextual information or expertise associated to the service</v>
      </c>
      <c r="H1" s="4" t="str">
        <f ca="1">IFERROR(__xludf.DUMMYFUNCTION("""COMPUTED_VALUE"""),"keywords of the service")</f>
        <v>keywords of the service</v>
      </c>
      <c r="I1" s="4" t="str">
        <f ca="1">IFERROR(__xludf.DUMMYFUNCTION("""COMPUTED_VALUE"""),"platform name")</f>
        <v>platform name</v>
      </c>
      <c r="J1" s="4"/>
      <c r="K1" s="1"/>
      <c r="L1" s="1"/>
      <c r="M1" s="1"/>
      <c r="N1" s="1"/>
      <c r="O1" s="1"/>
      <c r="P1" s="1"/>
      <c r="Q1" s="1"/>
      <c r="R1" s="1"/>
      <c r="S1" s="1"/>
      <c r="T1" s="1"/>
      <c r="U1" s="1"/>
      <c r="V1" s="1"/>
      <c r="W1" s="1"/>
      <c r="X1" s="1"/>
      <c r="Y1" s="1"/>
      <c r="Z1" s="1"/>
      <c r="AA1" s="1"/>
    </row>
    <row r="2" spans="1:27" x14ac:dyDescent="0.2">
      <c r="A2" s="5" t="str">
        <f ca="1">IFERROR(__xludf.DUMMYFUNCTION("""COMPUTED_VALUE"""),"UNIME")</f>
        <v>UNIME</v>
      </c>
      <c r="B2" s="5" t="str">
        <f ca="1">IFERROR(__xludf.DUMMYFUNCTION("""COMPUTED_VALUE"""),"Biological resources")</f>
        <v>Biological resources</v>
      </c>
      <c r="C2" s="5" t="str">
        <f ca="1">IFERROR(__xludf.DUMMYFUNCTION("""COMPUTED_VALUE"""),"Taxonomic services")</f>
        <v>Taxonomic services</v>
      </c>
      <c r="D2" s="5" t="str">
        <f ca="1">IFERROR(__xludf.DUMMYFUNCTION("""COMPUTED_VALUE"""),"Access to LabsTREAM - TAXOMAR facility for taxonomic identification of marine macrozoobenthic organisms, teleost (otolith analysis facility with Zeiss EVO-10 EM, including external texture organization analysis), and elasmobranchs")</f>
        <v>Access to LabsTREAM - TAXOMAR facility for taxonomic identification of marine macrozoobenthic organisms, teleost (otolith analysis facility with Zeiss EVO-10 EM, including external texture organization analysis), and elasmobranchs</v>
      </c>
      <c r="E2" s="5" t="str">
        <f ca="1">IFERROR(__xludf.DUMMYFUNCTION("""COMPUTED_VALUE"""),"on-site")</f>
        <v>on-site</v>
      </c>
      <c r="F2" s="5" t="str">
        <f ca="1">IFERROR(__xludf.DUMMYFUNCTION("""COMPUTED_VALUE"""),"available")</f>
        <v>available</v>
      </c>
      <c r="G2" s="5" t="str">
        <f ca="1">IFERROR(__xludf.DUMMYFUNCTION("""COMPUTED_VALUE"""),"Taxonomic identification of marine macrobenthic organims, teleosts and elasmobranchs. ")</f>
        <v xml:space="preserve">Taxonomic identification of marine macrobenthic organims, teleosts and elasmobranchs. </v>
      </c>
      <c r="H2" s="5" t="str">
        <f ca="1">IFERROR(__xludf.DUMMYFUNCTION("""COMPUTED_VALUE"""),"marine macrobenthos, teleosts, elasmobranchs, Fish otolith, morphometry,")</f>
        <v>marine macrobenthos, teleosts, elasmobranchs, Fish otolith, morphometry,</v>
      </c>
      <c r="I2" s="5" t="str">
        <f ca="1">IFERROR(__xludf.DUMMYFUNCTION("""COMPUTED_VALUE"""),"LabStREAM - TAXOMAR")</f>
        <v>LabStREAM - TAXOMAR</v>
      </c>
      <c r="J2" s="5"/>
      <c r="K2" s="2"/>
      <c r="L2" s="2"/>
    </row>
    <row r="3" spans="1:27" x14ac:dyDescent="0.2">
      <c r="A3" s="5" t="str">
        <f ca="1">IFERROR(__xludf.DUMMYFUNCTION("""COMPUTED_VALUE"""),"UNIME")</f>
        <v>UNIME</v>
      </c>
      <c r="B3" s="5" t="str">
        <f ca="1">IFERROR(__xludf.DUMMYFUNCTION("""COMPUTED_VALUE"""),"Technology platforms")</f>
        <v>Technology platforms</v>
      </c>
      <c r="C3" s="5" t="str">
        <f ca="1">IFERROR(__xludf.DUMMYFUNCTION("""COMPUTED_VALUE"""),"Bioassays")</f>
        <v>Bioassays</v>
      </c>
      <c r="D3" s="5" t="str">
        <f ca="1">IFERROR(__xludf.DUMMYFUNCTION("""COMPUTED_VALUE"""),"Access to PHARMALAB and ZEBRALAB screening platforms. PHARMALAB: screening of immunomodulatory, neuroprotective, analgesic, anti-fungal, anti-inflammatory, anticancer, antimicrobial, and antimalarial properties of newfound molecules on cell lines (in vitr"&amp;"o) or aquatic animals (in vivo). ZEBRALAB: screening platform for zebrafish embryo toxicity test assays")</f>
        <v>Access to PHARMALAB and ZEBRALAB screening platforms. PHARMALAB: screening of immunomodulatory, neuroprotective, analgesic, anti-fungal, anti-inflammatory, anticancer, antimicrobial, and antimalarial properties of newfound molecules on cell lines (in vitro) or aquatic animals (in vivo). ZEBRALAB: screening platform for zebrafish embryo toxicity test assays</v>
      </c>
      <c r="E3" s="5" t="str">
        <f ca="1">IFERROR(__xludf.DUMMYFUNCTION("""COMPUTED_VALUE"""),"on-site")</f>
        <v>on-site</v>
      </c>
      <c r="F3" s="5" t="str">
        <f ca="1">IFERROR(__xludf.DUMMYFUNCTION("""COMPUTED_VALUE"""),"available")</f>
        <v>available</v>
      </c>
      <c r="G3" s="5" t="str">
        <f ca="1">IFERROR(__xludf.DUMMYFUNCTION("""COMPUTED_VALUE"""),"PHARMALAB: aquatic organisms are screened for immunomodulator, neuroprotective, analgesic, anti-fungal, anti-inflammatory, anticancer, antimicrobial, and antimalarial properties. ZEBRALAB: research facility equipped with aquaria and tanks for aquatic anim"&amp;"als experiments and production. Zebrafish production for research and In vivo studies on aquatic models.")</f>
        <v>PHARMALAB: aquatic organisms are screened for immunomodulator, neuroprotective, analgesic, anti-fungal, anti-inflammatory, anticancer, antimicrobial, and antimalarial properties. ZEBRALAB: research facility equipped with aquaria and tanks for aquatic animals experiments and production. Zebrafish production for research and In vivo studies on aquatic models.</v>
      </c>
      <c r="H3" s="5" t="str">
        <f ca="1">IFERROR(__xludf.DUMMYFUNCTION("""COMPUTED_VALUE"""),"marine pharmacology, immunomodulator, neuroprotective, analgesic, anti-fungal, anti-inflammatory, anticancer, antimicrobial, antimalarial")</f>
        <v>marine pharmacology, immunomodulator, neuroprotective, analgesic, anti-fungal, anti-inflammatory, anticancer, antimicrobial, antimalarial</v>
      </c>
      <c r="I3" s="5" t="str">
        <f ca="1">IFERROR(__xludf.DUMMYFUNCTION("""COMPUTED_VALUE"""),"PHARMALAB, LabStREAM - ZEBRALAB")</f>
        <v>PHARMALAB, LabStREAM - ZEBRALAB</v>
      </c>
      <c r="J3" s="5" t="str">
        <f ca="1">IFERROR(__xludf.DUMMYFUNCTION("""COMPUTED_VALUE"""),"Responsabile PHARMALAB: Prof. S Cuzzocrea, Responsabile ZEBRALAB: Prof. Spanò-Prof. Marino")</f>
        <v>Responsabile PHARMALAB: Prof. S Cuzzocrea, Responsabile ZEBRALAB: Prof. Spanò-Prof. Marino</v>
      </c>
      <c r="K3" s="2"/>
      <c r="L3" s="2"/>
    </row>
    <row r="4" spans="1:27" x14ac:dyDescent="0.2">
      <c r="A4" s="5" t="str">
        <f ca="1">IFERROR(__xludf.DUMMYFUNCTION("""COMPUTED_VALUE"""),"UNIME")</f>
        <v>UNIME</v>
      </c>
      <c r="B4" s="5" t="str">
        <f ca="1">IFERROR(__xludf.DUMMYFUNCTION("""COMPUTED_VALUE"""),"Technology platforms")</f>
        <v>Technology platforms</v>
      </c>
      <c r="C4" s="5" t="str">
        <f ca="1">IFERROR(__xludf.DUMMYFUNCTION("""COMPUTED_VALUE"""),"Molecular biology and omics")</f>
        <v>Molecular biology and omics</v>
      </c>
      <c r="D4" s="5" t="str">
        <f ca="1">IFERROR(__xludf.DUMMYFUNCTION("""COMPUTED_VALUE"""),"Access to LabsTREAM - GAO  facility for genomic identification of aquatic organisms")</f>
        <v>Access to LabsTREAM - GAO  facility for genomic identification of aquatic organisms</v>
      </c>
      <c r="E4" s="5" t="str">
        <f ca="1">IFERROR(__xludf.DUMMYFUNCTION("""COMPUTED_VALUE"""),"on-site")</f>
        <v>on-site</v>
      </c>
      <c r="F4" s="5" t="str">
        <f ca="1">IFERROR(__xludf.DUMMYFUNCTION("""COMPUTED_VALUE"""),"available")</f>
        <v>available</v>
      </c>
      <c r="G4" s="5" t="str">
        <f ca="1">IFERROR(__xludf.DUMMYFUNCTION("""COMPUTED_VALUE"""),"Genomic identification of aquatic organisms (Teleosts and Elasmobranchs) and gene based analyses (DNA extraction,sequencing and bioinformatic, Gene expression studies). Environmental DNA analyses")</f>
        <v>Genomic identification of aquatic organisms (Teleosts and Elasmobranchs) and gene based analyses (DNA extraction,sequencing and bioinformatic, Gene expression studies). Environmental DNA analyses</v>
      </c>
      <c r="H4" s="5"/>
      <c r="I4" s="5" t="str">
        <f ca="1">IFERROR(__xludf.DUMMYFUNCTION("""COMPUTED_VALUE"""),"LabStREAM - GEO")</f>
        <v>LabStREAM - GEO</v>
      </c>
      <c r="J4" s="5"/>
      <c r="K4" s="2"/>
      <c r="L4" s="2"/>
    </row>
    <row r="5" spans="1:27" x14ac:dyDescent="0.2">
      <c r="A5" s="5" t="str">
        <f ca="1">IFERROR(__xludf.DUMMYFUNCTION("""COMPUTED_VALUE"""),"UNIME")</f>
        <v>UNIME</v>
      </c>
      <c r="B5" s="5" t="str">
        <f ca="1">IFERROR(__xludf.DUMMYFUNCTION("""COMPUTED_VALUE"""),"Technology platforms")</f>
        <v>Technology platforms</v>
      </c>
      <c r="C5" s="5" t="str">
        <f ca="1">IFERROR(__xludf.DUMMYFUNCTION("""COMPUTED_VALUE"""),"Structural and chemical analysis")</f>
        <v>Structural and chemical analysis</v>
      </c>
      <c r="D5" s="5" t="str">
        <f ca="1">IFERROR(__xludf.DUMMYFUNCTION("""COMPUTED_VALUE"""),"Access to UNIME Structural analysis facilities: LabsTREAM - LAM facility for the extraction (water, sediment and biological matrices) and analysis of microplastics;  MeIT - METALS facility for determination of the aminoacid profile and biogenic amines, es"&amp;"sential and toxic metals (heavy metals) by ICP-MS and other chromatographic techniques; Access to MeIT - LIPIDS facility for the investigation of the lipid profile of extracts of marine species")</f>
        <v>Access to UNIME Structural analysis facilities: LabsTREAM - LAM facility for the extraction (water, sediment and biological matrices) and analysis of microplastics;  MeIT - METALS facility for determination of the aminoacid profile and biogenic amines, essential and toxic metals (heavy metals) by ICP-MS and other chromatographic techniques; Access to MeIT - LIPIDS facility for the investigation of the lipid profile of extracts of marine species</v>
      </c>
      <c r="E5" s="5" t="str">
        <f ca="1">IFERROR(__xludf.DUMMYFUNCTION("""COMPUTED_VALUE"""),"on-site")</f>
        <v>on-site</v>
      </c>
      <c r="F5" s="5" t="str">
        <f ca="1">IFERROR(__xludf.DUMMYFUNCTION("""COMPUTED_VALUE"""),"available")</f>
        <v>available</v>
      </c>
      <c r="G5" s="5" t="str">
        <f ca="1">IFERROR(__xludf.DUMMYFUNCTION("""COMPUTED_VALUE"""),"Microplastic extraction, isolation and identification from biotic matrices is performed. SEM and microFT-IT (Lumos II) are used for microparticle analyses and accurate identification of polymers in ATR, trasmission and reflection spectroscopy. Lipid profi"&amp;"le are studied through GC-FID/MS, LC-MS methods and direct-MS approaches. The lipid profile will represent a fingerprint of each species, useful against fraudolent activities (mislabeling, etc.) and could be correlated with pathophisiological conditions ("&amp;"food security and food safety implications).")</f>
        <v>Microplastic extraction, isolation and identification from biotic matrices is performed. SEM and microFT-IT (Lumos II) are used for microparticle analyses and accurate identification of polymers in ATR, trasmission and reflection spectroscopy. Lipid profile are studied through GC-FID/MS, LC-MS methods and direct-MS approaches. The lipid profile will represent a fingerprint of each species, useful against fraudolent activities (mislabeling, etc.) and could be correlated with pathophisiological conditions (food security and food safety implications).</v>
      </c>
      <c r="H5" s="5" t="str">
        <f ca="1">IFERROR(__xludf.DUMMYFUNCTION("""COMPUTED_VALUE"""),"Microplastic identification, microplastic analysis, microparticle analysis, ATR, trasmission spectoscopry, reflection spectroscopy, lipid profile, GC-FID/MS, LC-MS, direct-MS, food security, food safety")</f>
        <v>Microplastic identification, microplastic analysis, microparticle analysis, ATR, trasmission spectoscopry, reflection spectroscopy, lipid profile, GC-FID/MS, LC-MS, direct-MS, food security, food safety</v>
      </c>
      <c r="I5" s="5" t="str">
        <f ca="1">IFERROR(__xludf.DUMMYFUNCTION("""COMPUTED_VALUE"""),"LabStREAM - LAM, MeIT - METALS, MeIT - LIPIDS")</f>
        <v>LabStREAM - LAM, MeIT - METALS, MeIT - LIPIDS</v>
      </c>
      <c r="J5" s="5" t="str">
        <f ca="1">IFERROR(__xludf.DUMMYFUNCTION("""COMPUTED_VALUE"""),"Responsabile: Prof. P. Dugo-Prof. L. Mondello")</f>
        <v>Responsabile: Prof. P. Dugo-Prof. L. Mondello</v>
      </c>
      <c r="K5" s="2"/>
      <c r="L5" s="2"/>
    </row>
    <row r="6" spans="1:27" x14ac:dyDescent="0.2">
      <c r="A6" s="5" t="str">
        <f ca="1">IFERROR(__xludf.DUMMYFUNCTION("""COMPUTED_VALUE"""),"UNIME")</f>
        <v>UNIME</v>
      </c>
      <c r="B6" s="5" t="str">
        <f ca="1">IFERROR(__xludf.DUMMYFUNCTION("""COMPUTED_VALUE"""),"Experimental facilities")</f>
        <v>Experimental facilities</v>
      </c>
      <c r="C6" s="5" t="str">
        <f ca="1">IFERROR(__xludf.DUMMYFUNCTION("""COMPUTED_VALUE"""),"Wet laboratories")</f>
        <v>Wet laboratories</v>
      </c>
      <c r="D6" s="5" t="str">
        <f ca="1">IFERROR(__xludf.DUMMYFUNCTION("""COMPUTED_VALUE"""),"Access to ZEBRALAB facility for IN VIVO Studies on teleosts")</f>
        <v>Access to ZEBRALAB facility for IN VIVO Studies on teleosts</v>
      </c>
      <c r="E6" s="5" t="str">
        <f ca="1">IFERROR(__xludf.DUMMYFUNCTION("""COMPUTED_VALUE"""),"on-site")</f>
        <v>on-site</v>
      </c>
      <c r="F6" s="5" t="str">
        <f ca="1">IFERROR(__xludf.DUMMYFUNCTION("""COMPUTED_VALUE"""),"available")</f>
        <v>available</v>
      </c>
      <c r="G6" s="5" t="str">
        <f ca="1">IFERROR(__xludf.DUMMYFUNCTION("""COMPUTED_VALUE"""),"Available services in the lab include: Histology (Tricromic, PAS, Ziehl neelsen, Anaomo-histopathology exam and diagnosis), Molecular Biology (DNA/RNA extraction from tissues, Reverse transcription, Amplification and sequencing, Electrophoretic run, qPCR)"&amp;" and Imaging (Stereo microscope observation, optical microscope observation, fluorescent microscope observation)")</f>
        <v>Available services in the lab include: Histology (Tricromic, PAS, Ziehl neelsen, Anaomo-histopathology exam and diagnosis), Molecular Biology (DNA/RNA extraction from tissues, Reverse transcription, Amplification and sequencing, Electrophoretic run, qPCR) and Imaging (Stereo microscope observation, optical microscope observation, fluorescent microscope observation)</v>
      </c>
      <c r="H6" s="5"/>
      <c r="I6" s="5" t="str">
        <f ca="1">IFERROR(__xludf.DUMMYFUNCTION("""COMPUTED_VALUE"""),"LabStREAM - ZEBRALAB")</f>
        <v>LabStREAM - ZEBRALAB</v>
      </c>
      <c r="J6" s="5" t="str">
        <f ca="1">IFERROR(__xludf.DUMMYFUNCTION("""COMPUTED_VALUE"""),"Responsabile: Prof. Spanò-Prof. Marino")</f>
        <v>Responsabile: Prof. Spanò-Prof. Marino</v>
      </c>
      <c r="K6" s="2"/>
      <c r="L6" s="2"/>
    </row>
    <row r="7" spans="1:27" x14ac:dyDescent="0.2">
      <c r="A7" s="5" t="str">
        <f ca="1">IFERROR(__xludf.DUMMYFUNCTION("""COMPUTED_VALUE"""),"UNIME")</f>
        <v>UNIME</v>
      </c>
      <c r="B7" s="5" t="str">
        <f ca="1">IFERROR(__xludf.DUMMYFUNCTION("""COMPUTED_VALUE"""),"Technology platforms")</f>
        <v>Technology platforms</v>
      </c>
      <c r="C7" s="5" t="str">
        <f ca="1">IFERROR(__xludf.DUMMYFUNCTION("""COMPUTED_VALUE"""),"Imaging")</f>
        <v>Imaging</v>
      </c>
      <c r="D7" s="5" t="str">
        <f ca="1">IFERROR(__xludf.DUMMYFUNCTION("""COMPUTED_VALUE"""),"Access to LabsTREAM - TAXOMAR facility for teleost otolith analysis facility with Zeiss EVO-10 EM, including external texture organization analysis")</f>
        <v>Access to LabsTREAM - TAXOMAR facility for teleost otolith analysis facility with Zeiss EVO-10 EM, including external texture organization analysis</v>
      </c>
      <c r="E7" s="5" t="str">
        <f ca="1">IFERROR(__xludf.DUMMYFUNCTION("""COMPUTED_VALUE"""),"on-site")</f>
        <v>on-site</v>
      </c>
      <c r="F7" s="5" t="str">
        <f ca="1">IFERROR(__xludf.DUMMYFUNCTION("""COMPUTED_VALUE"""),"available")</f>
        <v>available</v>
      </c>
      <c r="G7" s="5" t="str">
        <f ca="1">IFERROR(__xludf.DUMMYFUNCTION("""COMPUTED_VALUE"""),"Fish otolith examination and analysis for ecological and zoological research: morphometry, shape analysis, external texture organization, fish age determination, fish stock assessment. SEM and micro-FT-IR are used for fish otolith analyses.")</f>
        <v>Fish otolith examination and analysis for ecological and zoological research: morphometry, shape analysis, external texture organization, fish age determination, fish stock assessment. SEM and micro-FT-IR are used for fish otolith analyses.</v>
      </c>
      <c r="H7" s="5"/>
      <c r="I7" s="5" t="str">
        <f ca="1">IFERROR(__xludf.DUMMYFUNCTION("""COMPUTED_VALUE"""),"LabStREAM - TAXOMAR")</f>
        <v>LabStREAM - TAXOMAR</v>
      </c>
      <c r="J7" s="5"/>
      <c r="K7" s="2"/>
      <c r="L7" s="2"/>
    </row>
    <row r="8" spans="1:27" x14ac:dyDescent="0.2">
      <c r="A8" s="5" t="str">
        <f ca="1">IFERROR(__xludf.DUMMYFUNCTION("""COMPUTED_VALUE"""),"UNIME")</f>
        <v>UNIME</v>
      </c>
      <c r="B8" s="5" t="str">
        <f ca="1">IFERROR(__xludf.DUMMYFUNCTION("""COMPUTED_VALUE"""),"Biological resources")</f>
        <v>Biological resources</v>
      </c>
      <c r="C8" s="5" t="str">
        <f ca="1">IFERROR(__xludf.DUMMYFUNCTION("""COMPUTED_VALUE"""),"Marine model organisms")</f>
        <v>Marine model organisms</v>
      </c>
      <c r="D8" s="5" t="str">
        <f ca="1">IFERROR(__xludf.DUMMYFUNCTION("""COMPUTED_VALUE"""),"Sicilian Zebrafish Resource Center (SZRC), research facility for zebrafish production and use as model organism in preclinical research.")</f>
        <v>Sicilian Zebrafish Resource Center (SZRC), research facility for zebrafish production and use as model organism in preclinical research.</v>
      </c>
      <c r="E8" s="5" t="str">
        <f ca="1">IFERROR(__xludf.DUMMYFUNCTION("""COMPUTED_VALUE"""),"on-site")</f>
        <v>on-site</v>
      </c>
      <c r="F8" s="5" t="str">
        <f ca="1">IFERROR(__xludf.DUMMYFUNCTION("""COMPUTED_VALUE"""),"available")</f>
        <v>available</v>
      </c>
      <c r="G8" s="5"/>
      <c r="H8" s="5"/>
      <c r="I8" s="5"/>
      <c r="J8" s="5" t="str">
        <f ca="1">IFERROR(__xludf.DUMMYFUNCTION("""COMPUTED_VALUE"""),"NOT COSTED")</f>
        <v>NOT COSTED</v>
      </c>
      <c r="K8" s="2"/>
      <c r="L8" s="2"/>
    </row>
    <row r="9" spans="1:27" x14ac:dyDescent="0.2">
      <c r="A9" s="5" t="str">
        <f ca="1">IFERROR(__xludf.DUMMYFUNCTION("""COMPUTED_VALUE"""),"UNIME")</f>
        <v>UNIME</v>
      </c>
      <c r="B9" s="5" t="str">
        <f ca="1">IFERROR(__xludf.DUMMYFUNCTION("""COMPUTED_VALUE"""),"Biological resources")</f>
        <v>Biological resources</v>
      </c>
      <c r="C9" s="5" t="str">
        <f ca="1">IFERROR(__xludf.DUMMYFUNCTION("""COMPUTED_VALUE"""),"Rearing of aquaculture animals")</f>
        <v>Rearing of aquaculture animals</v>
      </c>
      <c r="D9" s="5" t="str">
        <f ca="1">IFERROR(__xludf.DUMMYFUNCTION("""COMPUTED_VALUE"""),"Aquaculture Teaching Facility, research and teaching facility for teleosts reproduction")</f>
        <v>Aquaculture Teaching Facility, research and teaching facility for teleosts reproduction</v>
      </c>
      <c r="E9" s="5" t="str">
        <f ca="1">IFERROR(__xludf.DUMMYFUNCTION("""COMPUTED_VALUE"""),"on-site")</f>
        <v>on-site</v>
      </c>
      <c r="F9" s="5" t="str">
        <f ca="1">IFERROR(__xludf.DUMMYFUNCTION("""COMPUTED_VALUE"""),"available")</f>
        <v>available</v>
      </c>
      <c r="G9" s="5"/>
      <c r="H9" s="5"/>
      <c r="I9" s="5"/>
      <c r="J9" s="5" t="str">
        <f ca="1">IFERROR(__xludf.DUMMYFUNCTION("""COMPUTED_VALUE"""),"NOT COSTED")</f>
        <v>NOT COSTED</v>
      </c>
      <c r="K9" s="2"/>
      <c r="L9" s="2"/>
    </row>
    <row r="10" spans="1:27" x14ac:dyDescent="0.2">
      <c r="A10" s="5"/>
      <c r="B10" s="5"/>
      <c r="C10" s="5"/>
      <c r="D10" s="5"/>
      <c r="E10" s="5"/>
      <c r="F10" s="5"/>
      <c r="G10" s="5"/>
      <c r="H10" s="5"/>
      <c r="I10" s="5"/>
      <c r="J10" s="5"/>
      <c r="K10" s="2"/>
      <c r="L10" s="2"/>
    </row>
    <row r="11" spans="1:27" x14ac:dyDescent="0.2">
      <c r="A11" s="2"/>
      <c r="B11" s="2"/>
      <c r="C11" s="2"/>
      <c r="D11" s="2"/>
      <c r="E11" s="2"/>
      <c r="F11" s="2"/>
      <c r="G11" s="2"/>
      <c r="H11" s="2"/>
      <c r="I11" s="2"/>
      <c r="J11" s="2"/>
      <c r="K11" s="2"/>
      <c r="L11" s="2"/>
    </row>
    <row r="12" spans="1:27" x14ac:dyDescent="0.2">
      <c r="A12" s="2"/>
      <c r="B12" s="2"/>
      <c r="C12" s="2"/>
      <c r="D12" s="2"/>
      <c r="E12" s="2"/>
      <c r="F12" s="2"/>
      <c r="G12" s="2"/>
      <c r="H12" s="2"/>
      <c r="I12" s="2"/>
      <c r="J12" s="2"/>
      <c r="K12" s="2"/>
      <c r="L12" s="2"/>
    </row>
    <row r="13" spans="1:27" x14ac:dyDescent="0.2">
      <c r="A13" s="2"/>
      <c r="B13" s="2"/>
      <c r="C13" s="2"/>
      <c r="D13" s="2"/>
      <c r="E13" s="2"/>
      <c r="F13" s="2"/>
      <c r="G13" s="2"/>
      <c r="H13" s="2"/>
      <c r="I13" s="2"/>
      <c r="J13" s="2"/>
      <c r="K13" s="2"/>
      <c r="L13" s="2"/>
    </row>
    <row r="14" spans="1:27" x14ac:dyDescent="0.2">
      <c r="A14" s="2"/>
      <c r="B14" s="2"/>
      <c r="C14" s="2"/>
      <c r="D14" s="2"/>
      <c r="E14" s="2"/>
      <c r="F14" s="2"/>
      <c r="G14" s="2"/>
      <c r="H14" s="2"/>
      <c r="I14" s="2"/>
      <c r="J14" s="2"/>
      <c r="K14" s="2"/>
      <c r="L14" s="2"/>
    </row>
    <row r="15" spans="1:27" x14ac:dyDescent="0.2">
      <c r="A15" s="2"/>
      <c r="B15" s="2"/>
      <c r="C15" s="2"/>
      <c r="D15" s="2"/>
      <c r="E15" s="2"/>
      <c r="F15" s="2"/>
      <c r="G15" s="2"/>
      <c r="H15" s="2"/>
      <c r="I15" s="2"/>
      <c r="J15" s="2"/>
      <c r="K15" s="2"/>
      <c r="L15" s="2"/>
    </row>
    <row r="16" spans="1:27"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Z997"/>
  <sheetViews>
    <sheetView workbookViewId="0">
      <pane ySplit="1" topLeftCell="A2" activePane="bottomLeft" state="frozen"/>
      <selection pane="bottomLeft" activeCell="B3" sqref="B3"/>
    </sheetView>
  </sheetViews>
  <sheetFormatPr defaultColWidth="12.5703125" defaultRowHeight="15.75" customHeight="1" x14ac:dyDescent="0.2"/>
  <cols>
    <col min="4" max="4" width="28.140625" customWidth="1"/>
  </cols>
  <sheetData>
    <row r="1" spans="1:26" x14ac:dyDescent="0.2">
      <c r="A1" s="3" t="str">
        <f ca="1">IFERROR(__xludf.DUMMYFUNCTION("importrange(""https://docs.google.com/spreadsheets/d/1VLoeawUbYp5p6Myp7QuoaF4Fi-sERj4YpPlYJbwUhpU/edit#gid=0"", ""UNITO!A1:l"")"),"site")</f>
        <v>site</v>
      </c>
      <c r="B1" s="4" t="str">
        <f ca="1">IFERROR(__xludf.DUMMYFUNCTION("""COMPUTED_VALUE"""),"category")</f>
        <v>category</v>
      </c>
      <c r="C1" s="4" t="str">
        <f ca="1">IFERROR(__xludf.DUMMYFUNCTION("""COMPUTED_VALUE"""),"subcategory")</f>
        <v>subcategory</v>
      </c>
      <c r="D1" s="4" t="str">
        <f ca="1">IFERROR(__xludf.DUMMYFUNCTION("""COMPUTED_VALUE"""),"description of the service")</f>
        <v>description of the service</v>
      </c>
      <c r="E1" s="4" t="str">
        <f ca="1">IFERROR(__xludf.DUMMYFUNCTION("""COMPUTED_VALUE"""),"access type")</f>
        <v>access type</v>
      </c>
      <c r="F1" s="4" t="str">
        <f ca="1">IFERROR(__xludf.DUMMYFUNCTION("""COMPUTED_VALUE"""),"status")</f>
        <v>status</v>
      </c>
      <c r="G1" s="4" t="str">
        <f ca="1">IFERROR(__xludf.DUMMYFUNCTION("""COMPUTED_VALUE"""),"contextual information or expertise associated to the service")</f>
        <v>contextual information or expertise associated to the service</v>
      </c>
      <c r="H1" s="4" t="str">
        <f ca="1">IFERROR(__xludf.DUMMYFUNCTION("""COMPUTED_VALUE"""),"keywords of the service")</f>
        <v>keywords of the service</v>
      </c>
      <c r="I1" s="4" t="str">
        <f ca="1">IFERROR(__xludf.DUMMYFUNCTION("""COMPUTED_VALUE"""),"platform name")</f>
        <v>platform name</v>
      </c>
      <c r="J1" s="4" t="str">
        <f ca="1">IFERROR(__xludf.DUMMYFUNCTION("""COMPUTED_VALUE"""),"Note di Giorgio")</f>
        <v>Note di Giorgio</v>
      </c>
      <c r="K1" s="4"/>
      <c r="L1" s="4"/>
      <c r="M1" s="1"/>
      <c r="N1" s="1"/>
      <c r="O1" s="1"/>
      <c r="P1" s="1"/>
      <c r="Q1" s="1"/>
      <c r="R1" s="1"/>
      <c r="S1" s="1"/>
      <c r="T1" s="1"/>
      <c r="U1" s="1"/>
      <c r="V1" s="1"/>
      <c r="W1" s="1"/>
      <c r="X1" s="1"/>
      <c r="Y1" s="1"/>
      <c r="Z1" s="1"/>
    </row>
    <row r="2" spans="1:26" x14ac:dyDescent="0.2">
      <c r="A2" s="5" t="str">
        <f ca="1">IFERROR(__xludf.DUMMYFUNCTION("""COMPUTED_VALUE"""),"UNITO")</f>
        <v>UNITO</v>
      </c>
      <c r="B2" s="5" t="str">
        <f ca="1">IFERROR(__xludf.DUMMYFUNCTION("""COMPUTED_VALUE"""),"Biological resources")</f>
        <v>Biological resources</v>
      </c>
      <c r="C2" s="5" t="str">
        <f ca="1">IFERROR(__xludf.DUMMYFUNCTION("""COMPUTED_VALUE"""),"Culture collections")</f>
        <v>Culture collections</v>
      </c>
      <c r="D2" s="5" t="str">
        <f ca="1">IFERROR(__xludf.DUMMYFUNCTION("""COMPUTED_VALUE"""),"Access to fungal strains of the Mycotheca Universitatis Taurinenesis (MUT)")</f>
        <v>Access to fungal strains of the Mycotheca Universitatis Taurinenesis (MUT)</v>
      </c>
      <c r="E2" s="5" t="str">
        <f ca="1">IFERROR(__xludf.DUMMYFUNCTION("""COMPUTED_VALUE"""),"on-site and remote")</f>
        <v>on-site and remote</v>
      </c>
      <c r="F2" s="5" t="str">
        <f ca="1">IFERROR(__xludf.DUMMYFUNCTION("""COMPUTED_VALUE"""),"available")</f>
        <v>available</v>
      </c>
      <c r="G2" s="5" t="str">
        <f ca="1">IFERROR(__xludf.DUMMYFUNCTION("""COMPUTED_VALUE"""),"Fungal culture collection containing more than 2000 strains of marine fungi and related metadata (mainly from the Mediterrean Sea). MUT will provide access to fungal strains, lab. facilities and staff expertise for the isolation, identification and charac"&amp;"hterization of marine fungi. Expertise to describe marine fungal communities via metabarcoding and/or metagenomic analyses are available. On request, whole Genome sequencing of marine fungi can also be performed.")</f>
        <v>Fungal culture collection containing more than 2000 strains of marine fungi and related metadata (mainly from the Mediterrean Sea). MUT will provide access to fungal strains, lab. facilities and staff expertise for the isolation, identification and charachterization of marine fungi. Expertise to describe marine fungal communities via metabarcoding and/or metagenomic analyses are available. On request, whole Genome sequencing of marine fungi can also be performed.</v>
      </c>
      <c r="H2" s="5" t="str">
        <f ca="1">IFERROR(__xludf.DUMMYFUNCTION("""COMPUTED_VALUE"""),"fungal biobank, marine fungi, fungal fermentation, mycobiota, bioactive molecules")</f>
        <v>fungal biobank, marine fungi, fungal fermentation, mycobiota, bioactive molecules</v>
      </c>
      <c r="I2" s="5" t="str">
        <f ca="1">IFERROR(__xludf.DUMMYFUNCTION("""COMPUTED_VALUE"""),"MUT")</f>
        <v>MUT</v>
      </c>
      <c r="J2" s="5"/>
      <c r="K2" s="5"/>
      <c r="L2" s="5"/>
    </row>
    <row r="3" spans="1:26" x14ac:dyDescent="0.2">
      <c r="A3" s="5" t="str">
        <f ca="1">IFERROR(__xludf.DUMMYFUNCTION("""COMPUTED_VALUE"""),"UNITO")</f>
        <v>UNITO</v>
      </c>
      <c r="B3" s="5" t="str">
        <f ca="1">IFERROR(__xludf.DUMMYFUNCTION("""COMPUTED_VALUE"""),"Technology platforms")</f>
        <v>Technology platforms</v>
      </c>
      <c r="C3" s="5" t="str">
        <f ca="1">IFERROR(__xludf.DUMMYFUNCTION("""COMPUTED_VALUE"""),"Remote sensing and telemetry")</f>
        <v>Remote sensing and telemetry</v>
      </c>
      <c r="D3" s="5" t="str">
        <f ca="1">IFERROR(__xludf.DUMMYFUNCTION("""COMPUTED_VALUE"""),"Access to acoustic sensors and Autonomous Recording Units (ARUs) for the Passive Acoustic Monitoring (PAM) of the marine wildlife")</f>
        <v>Access to acoustic sensors and Autonomous Recording Units (ARUs) for the Passive Acoustic Monitoring (PAM) of the marine wildlife</v>
      </c>
      <c r="E3" s="5" t="str">
        <f ca="1">IFERROR(__xludf.DUMMYFUNCTION("""COMPUTED_VALUE"""),"remote")</f>
        <v>remote</v>
      </c>
      <c r="F3" s="5" t="str">
        <f ca="1">IFERROR(__xludf.DUMMYFUNCTION("""COMPUTED_VALUE"""),"available")</f>
        <v>available</v>
      </c>
      <c r="G3" s="5" t="str">
        <f ca="1">IFERROR(__xludf.DUMMYFUNCTION("""COMPUTED_VALUE"""),"Shallow waters (up to -300m) and deep waters (up to -1000m) Autonomous Recording Units (ARUs) for the collection of marine soundscape recordings and Passive Acoustic Monitoring of marine wildlife. ARUs are equipped with release transponders, hi-capacity S"&amp;"D cards and lithium batteries for long-lasting deployments. UniTO will provide support and training in identifying the areas suitable for deploying the sensors, the mooring of the devices and the analysis of the acoustic data. Additionally, remote access "&amp;"and analysis of extensive marine soundscape recordings is available.")</f>
        <v>Shallow waters (up to -300m) and deep waters (up to -1000m) Autonomous Recording Units (ARUs) for the collection of marine soundscape recordings and Passive Acoustic Monitoring of marine wildlife. ARUs are equipped with release transponders, hi-capacity SD cards and lithium batteries for long-lasting deployments. UniTO will provide support and training in identifying the areas suitable for deploying the sensors, the mooring of the devices and the analysis of the acoustic data. Additionally, remote access and analysis of extensive marine soundscape recordings is available.</v>
      </c>
      <c r="H3" s="5" t="str">
        <f ca="1">IFERROR(__xludf.DUMMYFUNCTION("""COMPUTED_VALUE"""),"bioacoustics, ecoacoustics, soundscape, Passive Acosutic Monitoring (PMA), Autonomous Recording Units (ARUs)")</f>
        <v>bioacoustics, ecoacoustics, soundscape, Passive Acosutic Monitoring (PMA), Autonomous Recording Units (ARUs)</v>
      </c>
      <c r="I3" s="5"/>
      <c r="J3" s="5"/>
      <c r="K3" s="5"/>
      <c r="L3" s="5"/>
    </row>
    <row r="4" spans="1:26" x14ac:dyDescent="0.2">
      <c r="A4" s="5" t="str">
        <f ca="1">IFERROR(__xludf.DUMMYFUNCTION("""COMPUTED_VALUE"""),"UNITO")</f>
        <v>UNITO</v>
      </c>
      <c r="B4" s="5" t="str">
        <f ca="1">IFERROR(__xludf.DUMMYFUNCTION("""COMPUTED_VALUE"""),"Biological resources")</f>
        <v>Biological resources</v>
      </c>
      <c r="C4" s="5" t="str">
        <f ca="1">IFERROR(__xludf.DUMMYFUNCTION("""COMPUTED_VALUE"""),"Organisms collected in the wild")</f>
        <v>Organisms collected in the wild</v>
      </c>
      <c r="D4" s="5" t="str">
        <f ca="1">IFERROR(__xludf.DUMMYFUNCTION("""COMPUTED_VALUE"""),"Collection and characterization of mesozooplanktonic communities")</f>
        <v>Collection and characterization of mesozooplanktonic communities</v>
      </c>
      <c r="E4" s="5" t="str">
        <f ca="1">IFERROR(__xludf.DUMMYFUNCTION("""COMPUTED_VALUE"""),"on-site and remote")</f>
        <v>on-site and remote</v>
      </c>
      <c r="F4" s="5" t="str">
        <f ca="1">IFERROR(__xludf.DUMMYFUNCTION("""COMPUTED_VALUE"""),"not available")</f>
        <v>not available</v>
      </c>
      <c r="G4" s="5" t="str">
        <f ca="1">IFERROR(__xludf.DUMMYFUNCTION("""COMPUTED_VALUE"""),"Collection and analysis of neritic and pelagic (holo-and mero-) mesozooplanktonic communities, macrozoobenthos (molluscs, polychaetes and crustaceans), Icthyoplankton")</f>
        <v>Collection and analysis of neritic and pelagic (holo-and mero-) mesozooplanktonic communities, macrozoobenthos (molluscs, polychaetes and crustaceans), Icthyoplankton</v>
      </c>
      <c r="H4" s="5" t="str">
        <f ca="1">IFERROR(__xludf.DUMMYFUNCTION("""COMPUTED_VALUE"""),"Mesozooplankton, copepods, Decapoda larval stages, molluscs, polychaetes, crustaceans, ichtyoplankton larvae")</f>
        <v>Mesozooplankton, copepods, Decapoda larval stages, molluscs, polychaetes, crustaceans, ichtyoplankton larvae</v>
      </c>
      <c r="I4" s="5"/>
      <c r="J4" s="5"/>
      <c r="K4" s="5"/>
      <c r="L4" s="5"/>
    </row>
    <row r="5" spans="1:26" x14ac:dyDescent="0.2">
      <c r="A5" s="5" t="str">
        <f ca="1">IFERROR(__xludf.DUMMYFUNCTION("""COMPUTED_VALUE"""),"UNITO")</f>
        <v>UNITO</v>
      </c>
      <c r="B5" s="5" t="str">
        <f ca="1">IFERROR(__xludf.DUMMYFUNCTION("""COMPUTED_VALUE"""),"Biological resources")</f>
        <v>Biological resources</v>
      </c>
      <c r="C5" s="5" t="str">
        <f ca="1">IFERROR(__xludf.DUMMYFUNCTION("""COMPUTED_VALUE"""),"Taxonomic services")</f>
        <v>Taxonomic services</v>
      </c>
      <c r="D5" s="5" t="str">
        <f ca="1">IFERROR(__xludf.DUMMYFUNCTION("""COMPUTED_VALUE"""),"Access to taxonomy facilities of UNITO: the MUT fungal taxonomy lab for Isolation, identification and characterization through visual (morphology) and DNA barcoding of marine taxa; the zooplankton taxonomy lab for isolation, identification and characteriz"&amp;"ation (taxa and species level) of Holoplankton, Meroplankton and Ichtyoplankton.")</f>
        <v>Access to taxonomy facilities of UNITO: the MUT fungal taxonomy lab for Isolation, identification and characterization through visual (morphology) and DNA barcoding of marine taxa; the zooplankton taxonomy lab for isolation, identification and characterization (taxa and species level) of Holoplankton, Meroplankton and Ichtyoplankton.</v>
      </c>
      <c r="E5" s="5" t="str">
        <f ca="1">IFERROR(__xludf.DUMMYFUNCTION("""COMPUTED_VALUE"""),"on-site and remote")</f>
        <v>on-site and remote</v>
      </c>
      <c r="F5" s="5" t="str">
        <f ca="1">IFERROR(__xludf.DUMMYFUNCTION("""COMPUTED_VALUE"""),"available")</f>
        <v>available</v>
      </c>
      <c r="G5" s="5" t="str">
        <f ca="1">IFERROR(__xludf.DUMMYFUNCTION("""COMPUTED_VALUE"""),"Morpholgical identification and DNA barcoding can be performed on marine fungi/fungal communities , mesozooplankton (copepods and all other holoplanktonic groups), Icthyoplankton (larval stages), macrozoobenthos (molluscs, polychaetes and crustaceans). Tr"&amp;"aining and design of ad hoc protocols is available on request.")</f>
        <v>Morpholgical identification and DNA barcoding can be performed on marine fungi/fungal communities , mesozooplankton (copepods and all other holoplanktonic groups), Icthyoplankton (larval stages), macrozoobenthos (molluscs, polychaetes and crustaceans). Training and design of ad hoc protocols is available on request.</v>
      </c>
      <c r="H5" s="5" t="str">
        <f ca="1">IFERROR(__xludf.DUMMYFUNCTION("""COMPUTED_VALUE"""),"Taxonomy, Morphological identification, DNA Barcoding, Fungi, Fungal communities, Mesozooplankton, copepods, Decapoda larval stages, molluscs, polychaetes, crustaceans, ichtyoplankton larvae, Antarctica macrozoobenthos assemblages morphological identifica"&amp;"tion")</f>
        <v>Taxonomy, Morphological identification, DNA Barcoding, Fungi, Fungal communities, Mesozooplankton, copepods, Decapoda larval stages, molluscs, polychaetes, crustaceans, ichtyoplankton larvae, Antarctica macrozoobenthos assemblages morphological identification</v>
      </c>
      <c r="I5" s="5" t="str">
        <f ca="1">IFERROR(__xludf.DUMMYFUNCTION("""COMPUTED_VALUE"""),"MUT")</f>
        <v>MUT</v>
      </c>
      <c r="J5" s="5"/>
      <c r="K5" s="5"/>
      <c r="L5" s="5"/>
    </row>
    <row r="6" spans="1:26" x14ac:dyDescent="0.2">
      <c r="A6" s="5" t="str">
        <f ca="1">IFERROR(__xludf.DUMMYFUNCTION("""COMPUTED_VALUE"""),"UNITO")</f>
        <v>UNITO</v>
      </c>
      <c r="B6" s="5" t="str">
        <f ca="1">IFERROR(__xludf.DUMMYFUNCTION("""COMPUTED_VALUE"""),"Experimental facilities")</f>
        <v>Experimental facilities</v>
      </c>
      <c r="C6" s="5" t="str">
        <f ca="1">IFERROR(__xludf.DUMMYFUNCTION("""COMPUTED_VALUE"""),"Mesocosms")</f>
        <v>Mesocosms</v>
      </c>
      <c r="D6" s="5" t="str">
        <f ca="1">IFERROR(__xludf.DUMMYFUNCTION("""COMPUTED_VALUE"""),"Marine seagrass systems")</f>
        <v>Marine seagrass systems</v>
      </c>
      <c r="E6" s="5" t="str">
        <f ca="1">IFERROR(__xludf.DUMMYFUNCTION("""COMPUTED_VALUE"""),"on-site")</f>
        <v>on-site</v>
      </c>
      <c r="F6" s="5" t="str">
        <f ca="1">IFERROR(__xludf.DUMMYFUNCTION("""COMPUTED_VALUE"""),"not available")</f>
        <v>not available</v>
      </c>
      <c r="G6" s="5" t="str">
        <f ca="1">IFERROR(__xludf.DUMMYFUNCTION("""COMPUTED_VALUE"""),"Study of the main descriptors and micromolluscs community associated")</f>
        <v>Study of the main descriptors and micromolluscs community associated</v>
      </c>
      <c r="H6" s="5" t="str">
        <f ca="1">IFERROR(__xludf.DUMMYFUNCTION("""COMPUTED_VALUE"""),"Lepidochronological analysis, Posidonia oceanica")</f>
        <v>Lepidochronological analysis, Posidonia oceanica</v>
      </c>
      <c r="I6" s="5"/>
      <c r="J6" s="5"/>
      <c r="K6" s="5"/>
      <c r="L6" s="5"/>
    </row>
    <row r="7" spans="1:26" x14ac:dyDescent="0.2">
      <c r="A7" s="5" t="str">
        <f ca="1">IFERROR(__xludf.DUMMYFUNCTION("""COMPUTED_VALUE"""),"UNITO")</f>
        <v>UNITO</v>
      </c>
      <c r="B7" s="5" t="str">
        <f ca="1">IFERROR(__xludf.DUMMYFUNCTION("""COMPUTED_VALUE"""),"E-services")</f>
        <v>E-services</v>
      </c>
      <c r="C7" s="5" t="str">
        <f ca="1">IFERROR(__xludf.DUMMYFUNCTION("""COMPUTED_VALUE"""),"Data analysis tools and software")</f>
        <v>Data analysis tools and software</v>
      </c>
      <c r="D7" s="5" t="str">
        <f ca="1">IFERROR(__xludf.DUMMYFUNCTION("""COMPUTED_VALUE"""),"Big Data Analysis &amp; Server testing. Development of software and toolboxes for bioacoustics and ethological studies")</f>
        <v>Big Data Analysis &amp; Server testing. Development of software and toolboxes for bioacoustics and ethological studies</v>
      </c>
      <c r="E7" s="5" t="str">
        <f ca="1">IFERROR(__xludf.DUMMYFUNCTION("""COMPUTED_VALUE"""),"on-site and remote")</f>
        <v>on-site and remote</v>
      </c>
      <c r="F7" s="5" t="str">
        <f ca="1">IFERROR(__xludf.DUMMYFUNCTION("""COMPUTED_VALUE"""),"not available")</f>
        <v>not available</v>
      </c>
      <c r="G7" s="5" t="str">
        <f ca="1">IFERROR(__xludf.DUMMYFUNCTION("""COMPUTED_VALUE"""),"Access to the Competence Centre for Scientific Computing ""c3s"" of the University of Turin https://c3s.unito.it/index.php")</f>
        <v>Access to the Competence Centre for Scientific Computing "c3s" of the University of Turin https://c3s.unito.it/index.php</v>
      </c>
      <c r="H7" s="5" t="str">
        <f ca="1">IFERROR(__xludf.DUMMYFUNCTION("""COMPUTED_VALUE"""),"artificial intelligence, server testing, big data analysisi, cluster analysis")</f>
        <v>artificial intelligence, server testing, big data analysisi, cluster analysis</v>
      </c>
      <c r="I7" s="5"/>
      <c r="J7" s="5"/>
      <c r="K7" s="5"/>
      <c r="L7" s="5"/>
    </row>
    <row r="8" spans="1:26" x14ac:dyDescent="0.2">
      <c r="A8" s="5" t="str">
        <f ca="1">IFERROR(__xludf.DUMMYFUNCTION("""COMPUTED_VALUE"""),"UNITO")</f>
        <v>UNITO</v>
      </c>
      <c r="B8" s="5" t="str">
        <f ca="1">IFERROR(__xludf.DUMMYFUNCTION("""COMPUTED_VALUE"""),"Technology platforms")</f>
        <v>Technology platforms</v>
      </c>
      <c r="C8" s="5" t="str">
        <f ca="1">IFERROR(__xludf.DUMMYFUNCTION("""COMPUTED_VALUE"""),"Structural and Chemical Analysis")</f>
        <v>Structural and Chemical Analysis</v>
      </c>
      <c r="D8" s="5" t="str">
        <f ca="1">IFERROR(__xludf.DUMMYFUNCTION("""COMPUTED_VALUE"""),"Access to facility for fungal fermentation and profiling of their bioactive compounds")</f>
        <v>Access to facility for fungal fermentation and profiling of their bioactive compounds</v>
      </c>
      <c r="E8" s="5" t="str">
        <f ca="1">IFERROR(__xludf.DUMMYFUNCTION("""COMPUTED_VALUE"""),"on-site")</f>
        <v>on-site</v>
      </c>
      <c r="F8" s="5" t="str">
        <f ca="1">IFERROR(__xludf.DUMMYFUNCTION("""COMPUTED_VALUE"""),"available")</f>
        <v>available</v>
      </c>
      <c r="G8" s="5" t="str">
        <f ca="1">IFERROR(__xludf.DUMMYFUNCTION("""COMPUTED_VALUE"""),"At MUT fungal fermentation in both submerged or solid state conditions can be performed for the further chemical characterization of the biactive molecules produced by marine fungi.")</f>
        <v>At MUT fungal fermentation in both submerged or solid state conditions can be performed for the further chemical characterization of the biactive molecules produced by marine fungi.</v>
      </c>
      <c r="H8" s="5" t="str">
        <f ca="1">IFERROR(__xludf.DUMMYFUNCTION("""COMPUTED_VALUE"""),"bioassays, fungal fermentation, bioactive molecules, fungi, biochemical characterization")</f>
        <v>bioassays, fungal fermentation, bioactive molecules, fungi, biochemical characterization</v>
      </c>
      <c r="I8" s="5" t="str">
        <f ca="1">IFERROR(__xludf.DUMMYFUNCTION("""COMPUTED_VALUE"""),"MUT")</f>
        <v>MUT</v>
      </c>
      <c r="J8" s="5"/>
      <c r="K8" s="5"/>
      <c r="L8" s="5"/>
    </row>
    <row r="9" spans="1:26" x14ac:dyDescent="0.2">
      <c r="A9" s="5" t="str">
        <f ca="1">IFERROR(__xludf.DUMMYFUNCTION("""COMPUTED_VALUE"""),"UNITO")</f>
        <v>UNITO</v>
      </c>
      <c r="B9" s="5" t="str">
        <f ca="1">IFERROR(__xludf.DUMMYFUNCTION("""COMPUTED_VALUE"""),"Technology platforms")</f>
        <v>Technology platforms</v>
      </c>
      <c r="C9" s="5" t="str">
        <f ca="1">IFERROR(__xludf.DUMMYFUNCTION("""COMPUTED_VALUE"""),"Molecular Biology and Omics")</f>
        <v>Molecular Biology and Omics</v>
      </c>
      <c r="D9" s="5" t="str">
        <f ca="1">IFERROR(__xludf.DUMMYFUNCTION("""COMPUTED_VALUE"""),"Access to fungal molecular biology lab for metabarcoding, metagenomic and WGS of marine taxa")</f>
        <v>Access to fungal molecular biology lab for metabarcoding, metagenomic and WGS of marine taxa</v>
      </c>
      <c r="E9" s="5" t="str">
        <f ca="1">IFERROR(__xludf.DUMMYFUNCTION("""COMPUTED_VALUE"""),"on-site")</f>
        <v>on-site</v>
      </c>
      <c r="F9" s="5" t="str">
        <f ca="1">IFERROR(__xludf.DUMMYFUNCTION("""COMPUTED_VALUE"""),"available")</f>
        <v>available</v>
      </c>
      <c r="G9" s="5"/>
      <c r="H9" s="5"/>
      <c r="I9" s="5" t="str">
        <f ca="1">IFERROR(__xludf.DUMMYFUNCTION("""COMPUTED_VALUE"""),"MUT")</f>
        <v>MUT</v>
      </c>
      <c r="J9" s="5"/>
      <c r="K9" s="5"/>
      <c r="L9" s="5"/>
    </row>
    <row r="10" spans="1:26" x14ac:dyDescent="0.2">
      <c r="A10" s="5"/>
      <c r="B10" s="2"/>
      <c r="C10" s="5"/>
      <c r="D10" s="5"/>
      <c r="E10" s="5"/>
      <c r="F10" s="5"/>
      <c r="G10" s="5"/>
      <c r="H10" s="5"/>
      <c r="I10" s="5"/>
      <c r="J10" s="5"/>
      <c r="K10" s="5"/>
      <c r="L10" s="5"/>
    </row>
    <row r="11" spans="1:26" x14ac:dyDescent="0.2">
      <c r="A11" s="5"/>
      <c r="B11" s="2"/>
      <c r="C11" s="5"/>
      <c r="D11" s="5"/>
      <c r="E11" s="5"/>
      <c r="F11" s="5"/>
      <c r="G11" s="5"/>
      <c r="H11" s="5"/>
      <c r="I11" s="5"/>
      <c r="J11" s="5"/>
      <c r="K11" s="5"/>
      <c r="L11" s="5"/>
    </row>
    <row r="12" spans="1:26" x14ac:dyDescent="0.2">
      <c r="A12" s="5"/>
      <c r="B12" s="2"/>
      <c r="C12" s="5"/>
      <c r="D12" s="5"/>
      <c r="E12" s="5"/>
      <c r="F12" s="5"/>
      <c r="G12" s="5"/>
      <c r="H12" s="5"/>
      <c r="I12" s="5"/>
      <c r="J12" s="5"/>
      <c r="K12" s="5"/>
      <c r="L12" s="5"/>
    </row>
    <row r="13" spans="1:26" x14ac:dyDescent="0.2">
      <c r="A13" s="5"/>
      <c r="B13" s="2"/>
      <c r="C13" s="5"/>
      <c r="D13" s="5"/>
      <c r="E13" s="5"/>
      <c r="F13" s="5"/>
      <c r="G13" s="5"/>
      <c r="H13" s="5"/>
      <c r="I13" s="5"/>
      <c r="J13" s="5"/>
      <c r="K13" s="5"/>
      <c r="L13" s="5"/>
    </row>
    <row r="14" spans="1:26" x14ac:dyDescent="0.2">
      <c r="A14" s="5"/>
      <c r="B14" s="2"/>
      <c r="C14" s="5"/>
      <c r="D14" s="5"/>
      <c r="E14" s="5"/>
      <c r="F14" s="5"/>
      <c r="G14" s="5"/>
      <c r="H14" s="5"/>
      <c r="I14" s="5"/>
      <c r="J14" s="5"/>
      <c r="K14" s="5"/>
      <c r="L14" s="5"/>
    </row>
    <row r="15" spans="1:26" x14ac:dyDescent="0.2">
      <c r="A15" s="5"/>
      <c r="B15" s="2"/>
      <c r="C15" s="5"/>
      <c r="D15" s="5"/>
      <c r="E15" s="5"/>
      <c r="F15" s="5"/>
      <c r="G15" s="5"/>
      <c r="H15" s="5"/>
      <c r="I15" s="5"/>
      <c r="J15" s="5"/>
      <c r="K15" s="5"/>
      <c r="L15" s="5"/>
    </row>
    <row r="16" spans="1:26" x14ac:dyDescent="0.2">
      <c r="A16" s="5"/>
      <c r="B16" s="2"/>
      <c r="C16" s="5"/>
      <c r="D16" s="5"/>
      <c r="E16" s="5"/>
      <c r="F16" s="5"/>
      <c r="G16" s="5"/>
      <c r="H16" s="5"/>
      <c r="I16" s="5"/>
      <c r="J16" s="5"/>
      <c r="K16" s="5"/>
      <c r="L16" s="5"/>
    </row>
    <row r="17" spans="1:12" x14ac:dyDescent="0.2">
      <c r="A17" s="5"/>
      <c r="B17" s="2"/>
      <c r="C17" s="5"/>
      <c r="D17" s="5"/>
      <c r="E17" s="5"/>
      <c r="F17" s="5"/>
      <c r="G17" s="5"/>
      <c r="H17" s="5"/>
      <c r="I17" s="5"/>
      <c r="J17" s="5"/>
      <c r="K17" s="5"/>
      <c r="L17" s="5"/>
    </row>
    <row r="18" spans="1:12" x14ac:dyDescent="0.2">
      <c r="A18" s="5"/>
      <c r="B18" s="2"/>
      <c r="C18" s="5"/>
      <c r="D18" s="5"/>
      <c r="E18" s="5"/>
      <c r="F18" s="5"/>
      <c r="G18" s="5"/>
      <c r="H18" s="5"/>
      <c r="I18" s="5"/>
      <c r="J18" s="5"/>
      <c r="K18" s="5"/>
      <c r="L18" s="5"/>
    </row>
    <row r="19" spans="1:12" x14ac:dyDescent="0.2">
      <c r="A19" s="5"/>
      <c r="B19" s="2"/>
      <c r="C19" s="5"/>
      <c r="D19" s="5"/>
      <c r="E19" s="5"/>
      <c r="F19" s="5"/>
      <c r="G19" s="5"/>
      <c r="H19" s="5"/>
      <c r="I19" s="5"/>
      <c r="J19" s="5"/>
      <c r="K19" s="5"/>
      <c r="L19" s="5"/>
    </row>
    <row r="20" spans="1:12" x14ac:dyDescent="0.2">
      <c r="A20" s="5"/>
      <c r="B20" s="2"/>
      <c r="C20" s="5"/>
      <c r="D20" s="5"/>
      <c r="E20" s="5"/>
      <c r="F20" s="5"/>
      <c r="G20" s="5"/>
      <c r="H20" s="5"/>
      <c r="I20" s="5"/>
      <c r="J20" s="5"/>
      <c r="K20" s="5"/>
      <c r="L20" s="5"/>
    </row>
    <row r="21" spans="1:12" x14ac:dyDescent="0.2">
      <c r="A21" s="5"/>
      <c r="B21" s="2"/>
      <c r="C21" s="5"/>
      <c r="D21" s="5"/>
      <c r="E21" s="5"/>
      <c r="F21" s="5"/>
      <c r="G21" s="5"/>
      <c r="H21" s="5"/>
      <c r="I21" s="5"/>
      <c r="J21" s="5"/>
      <c r="K21" s="5"/>
      <c r="L21" s="5"/>
    </row>
    <row r="22" spans="1:12" x14ac:dyDescent="0.2">
      <c r="A22" s="5"/>
      <c r="B22" s="2"/>
      <c r="C22" s="5"/>
      <c r="D22" s="5"/>
      <c r="E22" s="5"/>
      <c r="F22" s="5"/>
      <c r="G22" s="5"/>
      <c r="H22" s="5"/>
      <c r="I22" s="5"/>
      <c r="J22" s="5"/>
      <c r="K22" s="5"/>
      <c r="L22" s="5"/>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Z983"/>
  <sheetViews>
    <sheetView workbookViewId="0">
      <pane ySplit="1" topLeftCell="A2" activePane="bottomLeft" state="frozen"/>
      <selection pane="bottomLeft" activeCell="B3" sqref="B3"/>
    </sheetView>
  </sheetViews>
  <sheetFormatPr defaultColWidth="12.5703125" defaultRowHeight="15.75" customHeight="1" x14ac:dyDescent="0.2"/>
  <cols>
    <col min="1" max="1" width="21.28515625" customWidth="1"/>
    <col min="2" max="2" width="14.7109375" customWidth="1"/>
    <col min="3" max="3" width="24" customWidth="1"/>
  </cols>
  <sheetData>
    <row r="1" spans="1:26" x14ac:dyDescent="0.2">
      <c r="A1" s="3" t="str">
        <f ca="1">IFERROR(__xludf.DUMMYFUNCTION("importrange(""https://docs.google.com/spreadsheets/d/15DAhN1MukybjgeQGJGFKJL3agnUBN5yl2O4IrZCBzbc/edit#gid=0"", ""UNIMIB!A1:l"")"),"site")</f>
        <v>site</v>
      </c>
      <c r="B1" s="1" t="str">
        <f ca="1">IFERROR(__xludf.DUMMYFUNCTION("""COMPUTED_VALUE"""),"category")</f>
        <v>category</v>
      </c>
      <c r="C1" s="1" t="str">
        <f ca="1">IFERROR(__xludf.DUMMYFUNCTION("""COMPUTED_VALUE"""),"subcategory")</f>
        <v>subcategory</v>
      </c>
      <c r="D1" s="1" t="str">
        <f ca="1">IFERROR(__xludf.DUMMYFUNCTION("""COMPUTED_VALUE"""),"description of the service")</f>
        <v>description of the service</v>
      </c>
      <c r="E1" s="1" t="str">
        <f ca="1">IFERROR(__xludf.DUMMYFUNCTION("""COMPUTED_VALUE"""),"access type")</f>
        <v>access type</v>
      </c>
      <c r="F1" s="1" t="str">
        <f ca="1">IFERROR(__xludf.DUMMYFUNCTION("""COMPUTED_VALUE"""),"status")</f>
        <v>status</v>
      </c>
      <c r="G1" s="1" t="str">
        <f ca="1">IFERROR(__xludf.DUMMYFUNCTION("""COMPUTED_VALUE"""),"contextual information or expertise associated to the service")</f>
        <v>contextual information or expertise associated to the service</v>
      </c>
      <c r="H1" s="1" t="str">
        <f ca="1">IFERROR(__xludf.DUMMYFUNCTION("""COMPUTED_VALUE"""),"keywords of the service")</f>
        <v>keywords of the service</v>
      </c>
      <c r="I1" s="1" t="str">
        <f ca="1">IFERROR(__xludf.DUMMYFUNCTION("""COMPUTED_VALUE"""),"platform name")</f>
        <v>platform name</v>
      </c>
      <c r="J1" s="1" t="str">
        <f ca="1">IFERROR(__xludf.DUMMYFUNCTION("""COMPUTED_VALUE"""),"Note di Giorgio")</f>
        <v>Note di Giorgio</v>
      </c>
      <c r="K1" s="1"/>
      <c r="L1" s="1"/>
      <c r="M1" s="1"/>
      <c r="N1" s="1"/>
      <c r="O1" s="1"/>
      <c r="P1" s="1"/>
      <c r="Q1" s="1"/>
      <c r="R1" s="1"/>
      <c r="S1" s="1"/>
      <c r="T1" s="1"/>
      <c r="U1" s="1"/>
      <c r="V1" s="1"/>
      <c r="W1" s="1"/>
      <c r="X1" s="1"/>
      <c r="Y1" s="1"/>
      <c r="Z1" s="1"/>
    </row>
    <row r="2" spans="1:26" x14ac:dyDescent="0.2">
      <c r="A2" s="2" t="str">
        <f ca="1">IFERROR(__xludf.DUMMYFUNCTION("""COMPUTED_VALUE"""),"UNIMIB-MaRHE")</f>
        <v>UNIMIB-MaRHE</v>
      </c>
      <c r="B2" s="2" t="str">
        <f ca="1">IFERROR(__xludf.DUMMYFUNCTION("""COMPUTED_VALUE"""),"Supporting facilities")</f>
        <v>Supporting facilities</v>
      </c>
      <c r="C2" s="2" t="str">
        <f ca="1">IFERROR(__xludf.DUMMYFUNCTION("""COMPUTED_VALUE"""),"In-house lodging")</f>
        <v>In-house lodging</v>
      </c>
      <c r="D2" s="2" t="str">
        <f ca="1">IFERROR(__xludf.DUMMYFUNCTION("""COMPUTED_VALUE"""),"Access to accommodation full board in shared or private room (accommodation, meal, bed linen, towels) at the MaHRE Center")</f>
        <v>Access to accommodation full board in shared or private room (accommodation, meal, bed linen, towels) at the MaHRE Center</v>
      </c>
      <c r="E2" s="2" t="str">
        <f ca="1">IFERROR(__xludf.DUMMYFUNCTION("""COMPUTED_VALUE"""),"on-site")</f>
        <v>on-site</v>
      </c>
      <c r="F2" s="2" t="str">
        <f ca="1">IFERROR(__xludf.DUMMYFUNCTION("""COMPUTED_VALUE"""),"available")</f>
        <v>available</v>
      </c>
      <c r="G2" s="2" t="str">
        <f ca="1">IFERROR(__xludf.DUMMYFUNCTION("""COMPUTED_VALUE"""),"7 quad rooms for students (28 beds), 4 squad rooms for teachers (10 beds), including access to all Facilities (classroom, library, laboratory) except Diving")</f>
        <v>7 quad rooms for students (28 beds), 4 squad rooms for teachers (10 beds), including access to all Facilities (classroom, library, laboratory) except Diving</v>
      </c>
      <c r="H2" s="2"/>
      <c r="I2" s="2"/>
      <c r="J2" s="2"/>
      <c r="K2" s="2"/>
      <c r="L2" s="2"/>
    </row>
    <row r="3" spans="1:26" x14ac:dyDescent="0.2">
      <c r="A3" s="2" t="str">
        <f ca="1">IFERROR(__xludf.DUMMYFUNCTION("""COMPUTED_VALUE"""),"UNIMIB-MaRHE")</f>
        <v>UNIMIB-MaRHE</v>
      </c>
      <c r="B3" s="2" t="str">
        <f ca="1">IFERROR(__xludf.DUMMYFUNCTION("""COMPUTED_VALUE"""),"Ecosystem access")</f>
        <v>Ecosystem access</v>
      </c>
      <c r="C3" s="2" t="str">
        <f ca="1">IFERROR(__xludf.DUMMYFUNCTION("""COMPUTED_VALUE"""),"Scientific diving")</f>
        <v>Scientific diving</v>
      </c>
      <c r="D3" s="2" t="str">
        <f ca="1">IFERROR(__xludf.DUMMYFUNCTION("""COMPUTED_VALUE"""),"Access to MaHRE Center Scientific Diving Center, with the possibility to rent diving equipment or participate to scuba dive sessions from Dhoni Boat or from the coast")</f>
        <v>Access to MaHRE Center Scientific Diving Center, with the possibility to rent diving equipment or participate to scuba dive sessions from Dhoni Boat or from the coast</v>
      </c>
      <c r="E3" s="2" t="str">
        <f ca="1">IFERROR(__xludf.DUMMYFUNCTION("""COMPUTED_VALUE"""),"on-site")</f>
        <v>on-site</v>
      </c>
      <c r="F3" s="2" t="str">
        <f ca="1">IFERROR(__xludf.DUMMYFUNCTION("""COMPUTED_VALUE"""),"available")</f>
        <v>available</v>
      </c>
      <c r="G3" s="2" t="str">
        <f ca="1">IFERROR(__xludf.DUMMYFUNCTION("""COMPUTED_VALUE"""),"Renting of different materials (Wet Suit, Regulator,  BCD, Mask + Snorkel, Fins, diving tank), Scuba dive from Dhoni Boat")</f>
        <v>Renting of different materials (Wet Suit, Regulator,  BCD, Mask + Snorkel, Fins, diving tank), Scuba dive from Dhoni Boat</v>
      </c>
      <c r="H3" s="2"/>
      <c r="I3" s="2"/>
      <c r="J3" s="2"/>
      <c r="K3" s="2"/>
      <c r="L3" s="2"/>
    </row>
    <row r="4" spans="1:26" x14ac:dyDescent="0.2">
      <c r="A4" s="2" t="str">
        <f ca="1">IFERROR(__xludf.DUMMYFUNCTION("""COMPUTED_VALUE"""),"UNIMIB-MaRHE")</f>
        <v>UNIMIB-MaRHE</v>
      </c>
      <c r="B4" s="2" t="str">
        <f ca="1">IFERROR(__xludf.DUMMYFUNCTION("""COMPUTED_VALUE"""),"Ecosystem access")</f>
        <v>Ecosystem access</v>
      </c>
      <c r="C4" s="2" t="str">
        <f ca="1">IFERROR(__xludf.DUMMYFUNCTION("""COMPUTED_VALUE"""),"Coastal research vessels")</f>
        <v>Coastal research vessels</v>
      </c>
      <c r="D4" s="2" t="str">
        <f ca="1">IFERROR(__xludf.DUMMYFUNCTION("""COMPUTED_VALUE"""),"Access to island environments in the Maldives renting the Maldivian Dhoni Boat for Day Trip ( capability of 50 people).")</f>
        <v>Access to island environments in the Maldives renting the Maldivian Dhoni Boat for Day Trip ( capability of 50 people).</v>
      </c>
      <c r="E4" s="2" t="str">
        <f ca="1">IFERROR(__xludf.DUMMYFUNCTION("""COMPUTED_VALUE"""),"on-site")</f>
        <v>on-site</v>
      </c>
      <c r="F4" s="2" t="str">
        <f ca="1">IFERROR(__xludf.DUMMYFUNCTION("""COMPUTED_VALUE"""),"available")</f>
        <v>available</v>
      </c>
      <c r="G4" s="2" t="str">
        <f ca="1">IFERROR(__xludf.DUMMYFUNCTION("""COMPUTED_VALUE"""),"Access to different island environments in the Maldives, Faafu atoll (uninhabited/local/resort islands), coral reef habitats and associated reef habitats (seagrass meadows), Dhoni boat (75 feet). Basic sampling equipment is available onboard. Basic molecu"&amp;"lar characterization of collected organisms is available in the center (Environmental DNA Analysis).")</f>
        <v>Access to different island environments in the Maldives, Faafu atoll (uninhabited/local/resort islands), coral reef habitats and associated reef habitats (seagrass meadows), Dhoni boat (75 feet). Basic sampling equipment is available onboard. Basic molecular characterization of collected organisms is available in the center (Environmental DNA Analysis).</v>
      </c>
      <c r="H4" s="2"/>
      <c r="I4" s="2"/>
      <c r="J4" s="2"/>
      <c r="K4" s="2"/>
      <c r="L4" s="2"/>
    </row>
    <row r="5" spans="1:26" x14ac:dyDescent="0.2">
      <c r="A5" s="2" t="str">
        <f ca="1">IFERROR(__xludf.DUMMYFUNCTION("""COMPUTED_VALUE"""),"UNIMIB-MaRHE")</f>
        <v>UNIMIB-MaRHE</v>
      </c>
      <c r="B5" s="2" t="str">
        <f ca="1">IFERROR(__xludf.DUMMYFUNCTION("""COMPUTED_VALUE"""),"Biological resources")</f>
        <v>Biological resources</v>
      </c>
      <c r="C5" s="2" t="str">
        <f ca="1">IFERROR(__xludf.DUMMYFUNCTION("""COMPUTED_VALUE"""),"Organisms collected in the wild")</f>
        <v>Organisms collected in the wild</v>
      </c>
      <c r="D5" s="2" t="str">
        <f ca="1">IFERROR(__xludf.DUMMYFUNCTION("""COMPUTED_VALUE"""),"Collection of benthic, nektonic organisms and corals with supplementary services on request.")</f>
        <v>Collection of benthic, nektonic organisms and corals with supplementary services on request.</v>
      </c>
      <c r="E5" s="2" t="str">
        <f ca="1">IFERROR(__xludf.DUMMYFUNCTION("""COMPUTED_VALUE"""),"on-site")</f>
        <v>on-site</v>
      </c>
      <c r="F5" s="2" t="str">
        <f ca="1">IFERROR(__xludf.DUMMYFUNCTION("""COMPUTED_VALUE"""),"available")</f>
        <v>available</v>
      </c>
      <c r="G5" s="2"/>
      <c r="H5" s="2"/>
      <c r="I5" s="2"/>
      <c r="J5" s="2" t="str">
        <f ca="1">IFERROR(__xludf.DUMMYFUNCTION("""COMPUTED_VALUE"""),"NOT COSTED")</f>
        <v>NOT COSTED</v>
      </c>
      <c r="K5" s="2"/>
      <c r="L5" s="2"/>
    </row>
    <row r="6" spans="1:26" x14ac:dyDescent="0.2">
      <c r="A6" s="2"/>
      <c r="B6" s="2"/>
      <c r="C6" s="2"/>
      <c r="D6" s="2"/>
      <c r="E6" s="2"/>
      <c r="F6" s="2"/>
      <c r="G6" s="2"/>
      <c r="H6" s="2"/>
      <c r="I6" s="2"/>
      <c r="J6" s="2"/>
      <c r="K6" s="2"/>
      <c r="L6" s="2"/>
    </row>
    <row r="7" spans="1:26" x14ac:dyDescent="0.2">
      <c r="A7" s="2"/>
      <c r="B7" s="2"/>
      <c r="C7" s="2"/>
      <c r="D7" s="2"/>
      <c r="E7" s="2"/>
      <c r="F7" s="2"/>
      <c r="G7" s="2"/>
      <c r="H7" s="2"/>
      <c r="I7" s="2"/>
      <c r="J7" s="2"/>
      <c r="K7" s="2"/>
      <c r="L7" s="2"/>
    </row>
    <row r="8" spans="1:26" x14ac:dyDescent="0.2">
      <c r="A8" s="2"/>
      <c r="B8" s="2"/>
      <c r="C8" s="2"/>
      <c r="D8" s="2"/>
      <c r="E8" s="2"/>
      <c r="F8" s="2"/>
      <c r="G8" s="2"/>
      <c r="H8" s="2"/>
      <c r="I8" s="2"/>
      <c r="J8" s="2"/>
      <c r="K8" s="2"/>
      <c r="L8" s="2"/>
    </row>
    <row r="9" spans="1:26" x14ac:dyDescent="0.2">
      <c r="A9" s="2"/>
      <c r="B9" s="2"/>
      <c r="C9" s="2"/>
      <c r="D9" s="2"/>
      <c r="E9" s="2"/>
      <c r="F9" s="2"/>
      <c r="G9" s="2"/>
      <c r="H9" s="2"/>
      <c r="I9" s="2"/>
      <c r="J9" s="2"/>
      <c r="K9" s="2"/>
      <c r="L9" s="2"/>
    </row>
    <row r="10" spans="1:26" x14ac:dyDescent="0.2">
      <c r="A10" s="2"/>
      <c r="B10" s="2"/>
      <c r="C10" s="2"/>
      <c r="D10" s="2"/>
      <c r="E10" s="2"/>
      <c r="F10" s="2"/>
      <c r="G10" s="2"/>
      <c r="H10" s="2"/>
      <c r="I10" s="2"/>
      <c r="J10" s="2"/>
      <c r="K10" s="2"/>
      <c r="L10" s="2"/>
    </row>
    <row r="11" spans="1:26" x14ac:dyDescent="0.2">
      <c r="A11" s="2"/>
      <c r="B11" s="2"/>
      <c r="C11" s="2"/>
      <c r="D11" s="2"/>
      <c r="E11" s="2"/>
      <c r="F11" s="2"/>
      <c r="G11" s="2"/>
      <c r="H11" s="2"/>
      <c r="I11" s="2"/>
      <c r="J11" s="2"/>
      <c r="K11" s="2"/>
      <c r="L11" s="2"/>
    </row>
    <row r="12" spans="1:26" x14ac:dyDescent="0.2">
      <c r="A12" s="2"/>
      <c r="B12" s="2"/>
      <c r="C12" s="2"/>
      <c r="D12" s="2"/>
      <c r="E12" s="2"/>
      <c r="F12" s="2"/>
      <c r="G12" s="2"/>
      <c r="H12" s="2"/>
      <c r="I12" s="2"/>
      <c r="J12" s="2"/>
      <c r="K12" s="2"/>
      <c r="L12" s="2"/>
    </row>
    <row r="13" spans="1:26" x14ac:dyDescent="0.2">
      <c r="A13" s="2"/>
      <c r="B13" s="2"/>
      <c r="C13" s="2"/>
      <c r="D13" s="2"/>
      <c r="E13" s="2"/>
      <c r="F13" s="2"/>
      <c r="G13" s="2"/>
      <c r="H13" s="2"/>
      <c r="I13" s="2"/>
      <c r="J13" s="2"/>
      <c r="K13" s="2"/>
      <c r="L13" s="2"/>
    </row>
    <row r="14" spans="1:26" x14ac:dyDescent="0.2">
      <c r="A14" s="2"/>
      <c r="B14" s="2"/>
      <c r="C14" s="2"/>
      <c r="D14" s="2"/>
      <c r="E14" s="2"/>
      <c r="F14" s="2"/>
      <c r="G14" s="2"/>
      <c r="H14" s="2"/>
      <c r="I14" s="2"/>
      <c r="J14" s="2"/>
      <c r="K14" s="2"/>
      <c r="L14" s="2"/>
    </row>
    <row r="15" spans="1:26" x14ac:dyDescent="0.2">
      <c r="A15" s="2"/>
      <c r="B15" s="2"/>
      <c r="C15" s="2"/>
      <c r="D15" s="2"/>
      <c r="E15" s="2"/>
      <c r="F15" s="2"/>
      <c r="G15" s="2"/>
      <c r="H15" s="2"/>
      <c r="I15" s="2"/>
      <c r="J15" s="2"/>
      <c r="K15" s="2"/>
      <c r="L15" s="2"/>
    </row>
    <row r="16" spans="1:26"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L999"/>
  <sheetViews>
    <sheetView tabSelected="1" workbookViewId="0">
      <pane ySplit="1" topLeftCell="A2" activePane="bottomLeft" state="frozen"/>
      <selection pane="bottomLeft" activeCell="B3" sqref="B3"/>
    </sheetView>
  </sheetViews>
  <sheetFormatPr defaultColWidth="12.5703125" defaultRowHeight="15.75" customHeight="1" x14ac:dyDescent="0.2"/>
  <sheetData>
    <row r="1" spans="1:12" x14ac:dyDescent="0.2">
      <c r="A1" s="11" t="str">
        <f ca="1">IFERROR(__xludf.DUMMYFUNCTION("importrange(""https://docs.google.com/spreadsheets/d/1ph1wwAZY689YGWb_u7p6DGe0xGgn-ZFt-aVgyEGL6cE/edit#gid=0"", ""UNIVPM!A1:l"")"),"site")</f>
        <v>site</v>
      </c>
      <c r="B1" s="5" t="str">
        <f ca="1">IFERROR(__xludf.DUMMYFUNCTION("""COMPUTED_VALUE"""),"category")</f>
        <v>category</v>
      </c>
      <c r="C1" s="5" t="str">
        <f ca="1">IFERROR(__xludf.DUMMYFUNCTION("""COMPUTED_VALUE"""),"subcategory")</f>
        <v>subcategory</v>
      </c>
      <c r="D1" s="5" t="str">
        <f ca="1">IFERROR(__xludf.DUMMYFUNCTION("""COMPUTED_VALUE"""),"description of the service")</f>
        <v>description of the service</v>
      </c>
      <c r="E1" s="5" t="str">
        <f ca="1">IFERROR(__xludf.DUMMYFUNCTION("""COMPUTED_VALUE"""),"access type")</f>
        <v>access type</v>
      </c>
      <c r="F1" s="5" t="str">
        <f ca="1">IFERROR(__xludf.DUMMYFUNCTION("""COMPUTED_VALUE"""),"status")</f>
        <v>status</v>
      </c>
      <c r="G1" s="5" t="str">
        <f ca="1">IFERROR(__xludf.DUMMYFUNCTION("""COMPUTED_VALUE"""),"contextual information or expertise associated to the service")</f>
        <v>contextual information or expertise associated to the service</v>
      </c>
      <c r="H1" s="5" t="str">
        <f ca="1">IFERROR(__xludf.DUMMYFUNCTION("""COMPUTED_VALUE"""),"keywords of the service")</f>
        <v>keywords of the service</v>
      </c>
      <c r="I1" s="5" t="str">
        <f ca="1">IFERROR(__xludf.DUMMYFUNCTION("""COMPUTED_VALUE"""),"platform name")</f>
        <v>platform name</v>
      </c>
      <c r="J1" s="2"/>
      <c r="K1" s="2"/>
      <c r="L1" s="2"/>
    </row>
    <row r="2" spans="1:12" x14ac:dyDescent="0.2">
      <c r="A2" s="5" t="str">
        <f ca="1">IFERROR(__xludf.DUMMYFUNCTION("""COMPUTED_VALUE"""),"UNIVPM-DISVA")</f>
        <v>UNIVPM-DISVA</v>
      </c>
      <c r="B2" s="5" t="str">
        <f ca="1">IFERROR(__xludf.DUMMYFUNCTION("""COMPUTED_VALUE"""),"Ecosystem access")</f>
        <v>Ecosystem access</v>
      </c>
      <c r="C2" s="5" t="str">
        <f ca="1">IFERROR(__xludf.DUMMYFUNCTION("""COMPUTED_VALUE"""),"Coastal research vessels")</f>
        <v>Coastal research vessels</v>
      </c>
      <c r="D2" s="5" t="str">
        <f ca="1">IFERROR(__xludf.DUMMYFUNCTION("""COMPUTED_VALUE"""),"Access to research vessels in the Ionian Sea ecosystem. Vessels can be equipped with sensors, sampling equipment and ROV, and the support of UNIVPM scuba divers can be asked on request.")</f>
        <v>Access to research vessels in the Ionian Sea ecosystem. Vessels can be equipped with sensors, sampling equipment and ROV, and the support of UNIVPM scuba divers can be asked on request.</v>
      </c>
      <c r="E2" s="5" t="str">
        <f ca="1">IFERROR(__xludf.DUMMYFUNCTION("""COMPUTED_VALUE"""),"on-site")</f>
        <v>on-site</v>
      </c>
      <c r="F2" s="5" t="str">
        <f ca="1">IFERROR(__xludf.DUMMYFUNCTION("""COMPUTED_VALUE"""),"available")</f>
        <v>available</v>
      </c>
      <c r="G2" s="5" t="str">
        <f ca="1">IFERROR(__xludf.DUMMYFUNCTION("""COMPUTED_VALUE"""),"Technical and scientific staff for the research vessel and sampling activities; sampling devices: CTD, box corer and different sampling nets; water and sediment samples collection and storage")</f>
        <v>Technical and scientific staff for the research vessel and sampling activities; sampling devices: CTD, box corer and different sampling nets; water and sediment samples collection and storage</v>
      </c>
      <c r="H2" s="5" t="str">
        <f ca="1">IFERROR(__xludf.DUMMYFUNCTION("""COMPUTED_VALUE"""),"Bacteria, Archaea, meiofauna and macrofauna, phytoplankton and zooplankton")</f>
        <v>Bacteria, Archaea, meiofauna and macrofauna, phytoplankton and zooplankton</v>
      </c>
      <c r="I2" s="5"/>
      <c r="J2" s="2"/>
      <c r="K2" s="2"/>
      <c r="L2" s="2"/>
    </row>
    <row r="3" spans="1:12" x14ac:dyDescent="0.2">
      <c r="A3" s="5" t="str">
        <f ca="1">IFERROR(__xludf.DUMMYFUNCTION("""COMPUTED_VALUE"""),"UNIVPM-DISVA")</f>
        <v>UNIVPM-DISVA</v>
      </c>
      <c r="B3" s="5" t="str">
        <f ca="1">IFERROR(__xludf.DUMMYFUNCTION("""COMPUTED_VALUE"""),"Experimental facilities")</f>
        <v>Experimental facilities</v>
      </c>
      <c r="C3" s="5" t="str">
        <f ca="1">IFERROR(__xludf.DUMMYFUNCTION("""COMPUTED_VALUE"""),"Aquaria and tanks")</f>
        <v>Aquaria and tanks</v>
      </c>
      <c r="D3" s="5" t="str">
        <f ca="1">IFERROR(__xludf.DUMMYFUNCTION("""COMPUTED_VALUE"""),"Access to aquarium facilities for aquatic organisms maintenance and experiments under controlled conditions and multiple stressors on target species. Specialized aquaria for Mediterranean, Tropical (including sea anemones, stony corals, and soft corals) a"&amp;"nd Polar marine species are available.")</f>
        <v>Access to aquarium facilities for aquatic organisms maintenance and experiments under controlled conditions and multiple stressors on target species. Specialized aquaria for Mediterranean, Tropical (including sea anemones, stony corals, and soft corals) and Polar marine species are available.</v>
      </c>
      <c r="E3" s="5" t="str">
        <f ca="1">IFERROR(__xludf.DUMMYFUNCTION("""COMPUTED_VALUE"""),"on-site")</f>
        <v>on-site</v>
      </c>
      <c r="F3" s="5" t="str">
        <f ca="1">IFERROR(__xludf.DUMMYFUNCTION("""COMPUTED_VALUE"""),"available")</f>
        <v>available</v>
      </c>
      <c r="G3" s="5" t="str">
        <f ca="1">IFERROR(__xludf.DUMMYFUNCTION("""COMPUTED_VALUE"""),"Overall ca. 200 mesocosms and aquaria for a total volume of 25.000L subdivided for a) Mediterranean species, b) tropical species (including sea anemones, stony corals and soft corals); Target species for farming and maintenance: phytoplankton and zooplank"&amp;"ton (Rotifers, Artemia salina, harpacticoid and calanoid copepods), Zebrafish; scientific staff for the reproduction and maintenance of species, set-up of manipulation experiments and general monitoring/functioning of the facility.  Dedicated mesocosms an"&amp;"d aquaria for polar species; scientific staff for the reproduction and maintenance of species, set-up of manipulation experiments under different climate scenarios and general monitoring/functioning of the facility")</f>
        <v>Overall ca. 200 mesocosms and aquaria for a total volume of 25.000L subdivided for a) Mediterranean species, b) tropical species (including sea anemones, stony corals and soft corals); Target species for farming and maintenance: phytoplankton and zooplankton (Rotifers, Artemia salina, harpacticoid and calanoid copepods), Zebrafish; scientific staff for the reproduction and maintenance of species, set-up of manipulation experiments and general monitoring/functioning of the facility.  Dedicated mesocosms and aquaria for polar species; scientific staff for the reproduction and maintenance of species, set-up of manipulation experiments under different climate scenarios and general monitoring/functioning of the facility</v>
      </c>
      <c r="H3" s="5" t="str">
        <f ca="1">IFERROR(__xludf.DUMMYFUNCTION("""COMPUTED_VALUE"""),"Phytoplankton and zooplankton (Rotifers, Artemia salina, harpacticoid and calanoid copepods), Zebrafish")</f>
        <v>Phytoplankton and zooplankton (Rotifers, Artemia salina, harpacticoid and calanoid copepods), Zebrafish</v>
      </c>
      <c r="I3" s="5"/>
      <c r="J3" s="2"/>
      <c r="K3" s="2"/>
      <c r="L3" s="2"/>
    </row>
    <row r="4" spans="1:12" x14ac:dyDescent="0.2">
      <c r="A4" s="5" t="str">
        <f ca="1">IFERROR(__xludf.DUMMYFUNCTION("""COMPUTED_VALUE"""),"UNIVPM-DISVA")</f>
        <v>UNIVPM-DISVA</v>
      </c>
      <c r="B4" s="5" t="str">
        <f ca="1">IFERROR(__xludf.DUMMYFUNCTION("""COMPUTED_VALUE"""),"Technology platforms")</f>
        <v>Technology platforms</v>
      </c>
      <c r="C4" s="5" t="str">
        <f ca="1">IFERROR(__xludf.DUMMYFUNCTION("""COMPUTED_VALUE"""),"Molecular biology and omics")</f>
        <v>Molecular biology and omics</v>
      </c>
      <c r="D4" s="5" t="str">
        <f ca="1">IFERROR(__xludf.DUMMYFUNCTION("""COMPUTED_VALUE"""),"Access to the Molecular Biology Core Facility for the production of recombinant proteins from marine organisms, including protein structure resolution and modelling.")</f>
        <v>Access to the Molecular Biology Core Facility for the production of recombinant proteins from marine organisms, including protein structure resolution and modelling.</v>
      </c>
      <c r="E4" s="5" t="str">
        <f ca="1">IFERROR(__xludf.DUMMYFUNCTION("""COMPUTED_VALUE"""),"on-site")</f>
        <v>on-site</v>
      </c>
      <c r="F4" s="5" t="str">
        <f ca="1">IFERROR(__xludf.DUMMYFUNCTION("""COMPUTED_VALUE"""),"available")</f>
        <v>available</v>
      </c>
      <c r="G4" s="5" t="str">
        <f ca="1">IFERROR(__xludf.DUMMYFUNCTION("""COMPUTED_VALUE"""),"Molecular Biology Core Facility (https://www.disva.univpm.it/content/masbic). Applications include the purification of proteins and membrane proteins from marine organisms; studies of enzyme functions and integration of molecular, biochemical, cellular an"&amp;"d organismal approaches; crystallization and structure determination; transcriptome and gene expression analyses")</f>
        <v>Molecular Biology Core Facility (https://www.disva.univpm.it/content/masbic). Applications include the purification of proteins and membrane proteins from marine organisms; studies of enzyme functions and integration of molecular, biochemical, cellular and organismal approaches; crystallization and structure determination; transcriptome and gene expression analyses</v>
      </c>
      <c r="H4" s="5" t="str">
        <f ca="1">IFERROR(__xludf.DUMMYFUNCTION("""COMPUTED_VALUE"""),"High-throughput protein production, enzyme functions, cloning system and robotics, crystallography")</f>
        <v>High-throughput protein production, enzyme functions, cloning system and robotics, crystallography</v>
      </c>
      <c r="I4" s="5" t="str">
        <f ca="1">IFERROR(__xludf.DUMMYFUNCTION("""COMPUTED_VALUE"""),"Ma.S.Bi.C.")</f>
        <v>Ma.S.Bi.C.</v>
      </c>
      <c r="J4" s="2"/>
      <c r="K4" s="2"/>
      <c r="L4" s="2"/>
    </row>
    <row r="5" spans="1:12" x14ac:dyDescent="0.2">
      <c r="A5" s="5" t="str">
        <f ca="1">IFERROR(__xludf.DUMMYFUNCTION("""COMPUTED_VALUE"""),"UNIVPM-DISVA")</f>
        <v>UNIVPM-DISVA</v>
      </c>
      <c r="B5" s="5" t="str">
        <f ca="1">IFERROR(__xludf.DUMMYFUNCTION("""COMPUTED_VALUE"""),"Technology platforms")</f>
        <v>Technology platforms</v>
      </c>
      <c r="C5" s="5" t="str">
        <f ca="1">IFERROR(__xludf.DUMMYFUNCTION("""COMPUTED_VALUE"""),"Structural and chemical analysis")</f>
        <v>Structural and chemical analysis</v>
      </c>
      <c r="D5" s="5" t="str">
        <f ca="1">IFERROR(__xludf.DUMMYFUNCTION("""COMPUTED_VALUE"""),"Access to Mass Spectrometry facility including: Liquid Chromatography-MS,  Gas Chromatography-MS, ICP-MS, Atomic Absorption Spectrophotometry, HPLC with fluorescence and diode array detectors.")</f>
        <v>Access to Mass Spectrometry facility including: Liquid Chromatography-MS,  Gas Chromatography-MS, ICP-MS, Atomic Absorption Spectrophotometry, HPLC with fluorescence and diode array detectors.</v>
      </c>
      <c r="E5" s="5" t="str">
        <f ca="1">IFERROR(__xludf.DUMMYFUNCTION("""COMPUTED_VALUE"""),"on-site")</f>
        <v>on-site</v>
      </c>
      <c r="F5" s="5" t="str">
        <f ca="1">IFERROR(__xludf.DUMMYFUNCTION("""COMPUTED_VALUE"""),"available")</f>
        <v>available</v>
      </c>
      <c r="G5" s="5" t="str">
        <f ca="1">IFERROR(__xludf.DUMMYFUNCTION("""COMPUTED_VALUE"""),"Environmental chemistry service allowing to determine all the classes of chemical pollutants including traditional (metals, PAHs, halogenated hydrocarbons) and emeging pollutants (i.e. pharmaceuticals, microplastics, flame retardants)")</f>
        <v>Environmental chemistry service allowing to determine all the classes of chemical pollutants including traditional (metals, PAHs, halogenated hydrocarbons) and emeging pollutants (i.e. pharmaceuticals, microplastics, flame retardants)</v>
      </c>
      <c r="H5" s="5" t="str">
        <f ca="1">IFERROR(__xludf.DUMMYFUNCTION("""COMPUTED_VALUE"""),"Environmental chemistry, Liquid Chromatography-MS, Gas Chromatography-MS, ICP-MS, Atomic absorption. Metals, PAHs, Pesticides, microplastics, fish, invertebrates, sediments")</f>
        <v>Environmental chemistry, Liquid Chromatography-MS, Gas Chromatography-MS, ICP-MS, Atomic absorption. Metals, PAHs, Pesticides, microplastics, fish, invertebrates, sediments</v>
      </c>
      <c r="I5" s="5"/>
      <c r="J5" s="2"/>
      <c r="K5" s="2"/>
      <c r="L5" s="2"/>
    </row>
    <row r="6" spans="1:12" x14ac:dyDescent="0.2">
      <c r="A6" s="5" t="str">
        <f ca="1">IFERROR(__xludf.DUMMYFUNCTION("""COMPUTED_VALUE"""),"UNIVPM-DISVA")</f>
        <v>UNIVPM-DISVA</v>
      </c>
      <c r="B6" s="5" t="str">
        <f ca="1">IFERROR(__xludf.DUMMYFUNCTION("""COMPUTED_VALUE"""),"Technology platforms")</f>
        <v>Technology platforms</v>
      </c>
      <c r="C6" s="5" t="str">
        <f ca="1">IFERROR(__xludf.DUMMYFUNCTION("""COMPUTED_VALUE"""),"Bioassays")</f>
        <v>Bioassays</v>
      </c>
      <c r="D6" s="5" t="str">
        <f ca="1">IFERROR(__xludf.DUMMYFUNCTION("""COMPUTED_VALUE"""),"Access to Ecotoxicological Assays platform, including analyses of the main cellular biomarkers (i.e. biotransformation, detoxification, oxyradical metabolism and oxidative stress, peroxisomal proliferation, impairment and toxicity to cellular membranes, l"&amp;"ysosomes, other organelles and DNA) and ecotoxicological bioassays (bacterial bioluminescence, algal growth, embryotoxicity, mortality)")</f>
        <v>Access to Ecotoxicological Assays platform, including analyses of the main cellular biomarkers (i.e. biotransformation, detoxification, oxyradical metabolism and oxidative stress, peroxisomal proliferation, impairment and toxicity to cellular membranes, lysosomes, other organelles and DNA) and ecotoxicological bioassays (bacterial bioluminescence, algal growth, embryotoxicity, mortality)</v>
      </c>
      <c r="E6" s="5" t="str">
        <f ca="1">IFERROR(__xludf.DUMMYFUNCTION("""COMPUTED_VALUE"""),"on-site")</f>
        <v>on-site</v>
      </c>
      <c r="F6" s="5" t="str">
        <f ca="1">IFERROR(__xludf.DUMMYFUNCTION("""COMPUTED_VALUE"""),"available")</f>
        <v>available</v>
      </c>
      <c r="G6" s="5" t="str">
        <f ca="1">IFERROR(__xludf.DUMMYFUNCTION("""COMPUTED_VALUE"""),"Effects underlying metabolization, detoxification and toxicity of chemical pollutants can be analysed at the molecular, biochemical, cellular and organism levels")</f>
        <v>Effects underlying metabolization, detoxification and toxicity of chemical pollutants can be analysed at the molecular, biochemical, cellular and organism levels</v>
      </c>
      <c r="H6" s="5" t="str">
        <f ca="1">IFERROR(__xludf.DUMMYFUNCTION("""COMPUTED_VALUE"""),"Biomarkers, Bioassays, ecotoxicology, fish, invertebrates, sediments")</f>
        <v>Biomarkers, Bioassays, ecotoxicology, fish, invertebrates, sediments</v>
      </c>
      <c r="I6" s="5"/>
      <c r="J6" s="2"/>
      <c r="K6" s="2"/>
      <c r="L6" s="2"/>
    </row>
    <row r="7" spans="1:12" x14ac:dyDescent="0.2">
      <c r="A7" s="5" t="str">
        <f ca="1">IFERROR(__xludf.DUMMYFUNCTION("""COMPUTED_VALUE"""),"UNIVPM-DISVA")</f>
        <v>UNIVPM-DISVA</v>
      </c>
      <c r="B7" s="5" t="str">
        <f ca="1">IFERROR(__xludf.DUMMYFUNCTION("""COMPUTED_VALUE"""),"E-services")</f>
        <v>E-services</v>
      </c>
      <c r="C7" s="5" t="str">
        <f ca="1">IFERROR(__xludf.DUMMYFUNCTION("""COMPUTED_VALUE"""),"Data analysis tools and software")</f>
        <v>Data analysis tools and software</v>
      </c>
      <c r="D7" s="5" t="str">
        <f ca="1">IFERROR(__xludf.DUMMYFUNCTION("""COMPUTED_VALUE"""),"Access to advanced bioinformatic laboratory and data mining facility and risk assessment models for the elaboration of large datasets of chemical and biological data")</f>
        <v>Access to advanced bioinformatic laboratory and data mining facility and risk assessment models for the elaboration of large datasets of chemical and biological data</v>
      </c>
      <c r="E7" s="5" t="str">
        <f ca="1">IFERROR(__xludf.DUMMYFUNCTION("""COMPUTED_VALUE"""),"on-site")</f>
        <v>on-site</v>
      </c>
      <c r="F7" s="5" t="str">
        <f ca="1">IFERROR(__xludf.DUMMYFUNCTION("""COMPUTED_VALUE"""),"available")</f>
        <v>available</v>
      </c>
      <c r="G7" s="5" t="str">
        <f ca="1">IFERROR(__xludf.DUMMYFUNCTION("""COMPUTED_VALUE"""),"Typical applications include management of contaminated sediments, remediation of polluted areas, impact of oil and gas exploitation/production.")</f>
        <v>Typical applications include management of contaminated sediments, remediation of polluted areas, impact of oil and gas exploitation/production.</v>
      </c>
      <c r="H7" s="5" t="str">
        <f ca="1">IFERROR(__xludf.DUMMYFUNCTION("""COMPUTED_VALUE"""),"Weight of Evidence WOE, risk assessment")</f>
        <v>Weight of Evidence WOE, risk assessment</v>
      </c>
      <c r="I7" s="5"/>
      <c r="J7" s="2"/>
      <c r="K7" s="2"/>
      <c r="L7" s="2"/>
    </row>
    <row r="8" spans="1:12" x14ac:dyDescent="0.2">
      <c r="A8" s="5"/>
      <c r="B8" s="5"/>
      <c r="C8" s="5"/>
      <c r="D8" s="5"/>
      <c r="E8" s="5"/>
      <c r="F8" s="5"/>
      <c r="G8" s="5"/>
      <c r="H8" s="5"/>
      <c r="I8" s="5"/>
      <c r="J8" s="2"/>
      <c r="K8" s="2"/>
      <c r="L8" s="2"/>
    </row>
    <row r="9" spans="1:12" x14ac:dyDescent="0.2">
      <c r="A9" s="2"/>
      <c r="B9" s="2"/>
      <c r="C9" s="2"/>
      <c r="D9" s="2"/>
      <c r="E9" s="2"/>
      <c r="F9" s="2"/>
      <c r="G9" s="2"/>
      <c r="H9" s="2"/>
      <c r="I9" s="2"/>
      <c r="J9" s="2"/>
      <c r="K9" s="2"/>
      <c r="L9" s="2"/>
    </row>
    <row r="10" spans="1:12" x14ac:dyDescent="0.2">
      <c r="A10" s="2"/>
      <c r="B10" s="2"/>
      <c r="C10" s="2"/>
      <c r="D10" s="2"/>
      <c r="E10" s="2"/>
      <c r="F10" s="2"/>
      <c r="G10" s="2"/>
      <c r="H10" s="2"/>
      <c r="I10" s="2"/>
      <c r="J10" s="2"/>
      <c r="K10" s="2"/>
      <c r="L10" s="2"/>
    </row>
    <row r="11" spans="1:12" x14ac:dyDescent="0.2">
      <c r="A11" s="2"/>
      <c r="B11" s="2"/>
      <c r="C11" s="2"/>
      <c r="D11" s="2"/>
      <c r="E11" s="2"/>
      <c r="F11" s="2"/>
      <c r="G11" s="2"/>
      <c r="H11" s="2"/>
      <c r="I11" s="2"/>
      <c r="J11" s="2"/>
      <c r="K11" s="2"/>
      <c r="L11" s="2"/>
    </row>
    <row r="12" spans="1:12" x14ac:dyDescent="0.2">
      <c r="A12" s="2"/>
      <c r="B12" s="2"/>
      <c r="C12" s="2"/>
      <c r="D12" s="2"/>
      <c r="E12" s="2"/>
      <c r="F12" s="2"/>
      <c r="G12" s="2"/>
      <c r="H12" s="2"/>
      <c r="I12" s="2"/>
      <c r="J12" s="2"/>
      <c r="K12" s="2"/>
      <c r="L12" s="2"/>
    </row>
    <row r="13" spans="1:12" x14ac:dyDescent="0.2">
      <c r="A13" s="2"/>
      <c r="B13" s="2"/>
      <c r="C13" s="2"/>
      <c r="D13" s="2"/>
      <c r="E13" s="2"/>
      <c r="F13" s="2"/>
      <c r="G13" s="2"/>
      <c r="H13" s="2"/>
      <c r="I13" s="2"/>
      <c r="J13" s="2"/>
      <c r="K13" s="2"/>
      <c r="L13" s="2"/>
    </row>
    <row r="14" spans="1:12" x14ac:dyDescent="0.2">
      <c r="A14" s="2"/>
      <c r="B14" s="2"/>
      <c r="C14" s="2"/>
      <c r="D14" s="2"/>
      <c r="E14" s="2"/>
      <c r="F14" s="2"/>
      <c r="G14" s="2"/>
      <c r="H14" s="2"/>
      <c r="I14" s="2"/>
      <c r="J14" s="2"/>
      <c r="K14" s="2"/>
      <c r="L14" s="2"/>
    </row>
    <row r="15" spans="1:12" x14ac:dyDescent="0.2">
      <c r="A15" s="2"/>
      <c r="B15" s="2"/>
      <c r="C15" s="2"/>
      <c r="D15" s="2"/>
      <c r="E15" s="2"/>
      <c r="F15" s="2"/>
      <c r="G15" s="2"/>
      <c r="H15" s="2"/>
      <c r="I15" s="2"/>
      <c r="J15" s="2"/>
      <c r="K15" s="2"/>
      <c r="L15" s="2"/>
    </row>
    <row r="16" spans="1:12"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row r="998" spans="1:12" x14ac:dyDescent="0.2">
      <c r="A998" s="2"/>
      <c r="B998" s="2"/>
      <c r="C998" s="2"/>
      <c r="D998" s="2"/>
      <c r="E998" s="2"/>
      <c r="F998" s="2"/>
      <c r="G998" s="2"/>
      <c r="H998" s="2"/>
      <c r="I998" s="2"/>
      <c r="J998" s="2"/>
      <c r="K998" s="2"/>
      <c r="L998" s="2"/>
    </row>
    <row r="999" spans="1:12" x14ac:dyDescent="0.2">
      <c r="A999" s="2"/>
      <c r="B999" s="2"/>
      <c r="C999" s="2"/>
      <c r="D999" s="2"/>
      <c r="E999" s="2"/>
      <c r="F999" s="2"/>
      <c r="G999" s="2"/>
      <c r="H999" s="2"/>
      <c r="I999" s="2"/>
      <c r="J999" s="2"/>
      <c r="K999" s="2"/>
      <c r="L999"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B9D7-B6D1-49D5-A382-BBC99CDADDE8}">
  <dimension ref="A1:Z998"/>
  <sheetViews>
    <sheetView workbookViewId="0">
      <selection sqref="A1:XFD1048576"/>
    </sheetView>
  </sheetViews>
  <sheetFormatPr defaultColWidth="12.5703125" defaultRowHeight="15" customHeight="1" x14ac:dyDescent="0.2"/>
  <cols>
    <col min="1" max="2" width="28.85546875" customWidth="1"/>
    <col min="3" max="3" width="66" customWidth="1"/>
    <col min="4" max="4" width="19.42578125" customWidth="1"/>
    <col min="5" max="26" width="7.5703125" customWidth="1"/>
  </cols>
  <sheetData>
    <row r="1" spans="1:26" ht="13.5" customHeight="1" thickBot="1" x14ac:dyDescent="0.3">
      <c r="A1" s="23" t="s">
        <v>396</v>
      </c>
      <c r="B1" s="23" t="s">
        <v>397</v>
      </c>
      <c r="C1" s="23" t="s">
        <v>398</v>
      </c>
      <c r="D1" s="24" t="s">
        <v>399</v>
      </c>
      <c r="E1" s="24"/>
      <c r="F1" s="24"/>
      <c r="G1" s="24"/>
      <c r="H1" s="24"/>
      <c r="I1" s="24"/>
      <c r="J1" s="24"/>
      <c r="K1" s="24"/>
      <c r="L1" s="24"/>
      <c r="M1" s="24"/>
      <c r="N1" s="24"/>
      <c r="O1" s="24"/>
      <c r="P1" s="24"/>
      <c r="Q1" s="24"/>
      <c r="R1" s="24"/>
      <c r="S1" s="24"/>
      <c r="T1" s="24"/>
      <c r="U1" s="24"/>
      <c r="V1" s="24"/>
      <c r="W1" s="24"/>
      <c r="X1" s="24"/>
      <c r="Y1" s="24"/>
      <c r="Z1" s="24"/>
    </row>
    <row r="2" spans="1:26" ht="13.5" customHeight="1" thickBot="1" x14ac:dyDescent="0.25">
      <c r="A2" s="25" t="s">
        <v>400</v>
      </c>
      <c r="B2" s="25" t="s">
        <v>162</v>
      </c>
      <c r="C2" s="25" t="s">
        <v>400</v>
      </c>
      <c r="D2" s="26"/>
      <c r="E2" s="26"/>
      <c r="F2" s="26"/>
      <c r="G2" s="26"/>
      <c r="H2" s="26"/>
      <c r="I2" s="26"/>
      <c r="J2" s="26"/>
      <c r="K2" s="26"/>
      <c r="L2" s="26"/>
      <c r="M2" s="26"/>
      <c r="N2" s="26"/>
      <c r="O2" s="26"/>
      <c r="P2" s="26"/>
      <c r="Q2" s="26"/>
      <c r="R2" s="26"/>
      <c r="S2" s="26"/>
      <c r="T2" s="26"/>
      <c r="U2" s="26"/>
      <c r="V2" s="26"/>
      <c r="W2" s="26"/>
      <c r="X2" s="26"/>
      <c r="Y2" s="26"/>
      <c r="Z2" s="26"/>
    </row>
    <row r="3" spans="1:26" ht="13.5" customHeight="1" thickBot="1" x14ac:dyDescent="0.25">
      <c r="A3" s="25" t="s">
        <v>400</v>
      </c>
      <c r="B3" s="25" t="s">
        <v>401</v>
      </c>
      <c r="C3" s="25" t="s">
        <v>402</v>
      </c>
      <c r="D3" s="26"/>
      <c r="E3" s="26"/>
      <c r="F3" s="26"/>
      <c r="G3" s="26"/>
      <c r="H3" s="26"/>
      <c r="I3" s="26"/>
      <c r="J3" s="26"/>
      <c r="K3" s="26"/>
      <c r="L3" s="26"/>
      <c r="M3" s="26"/>
      <c r="N3" s="26"/>
      <c r="O3" s="26"/>
      <c r="P3" s="26"/>
      <c r="Q3" s="26"/>
      <c r="R3" s="26"/>
      <c r="S3" s="26"/>
      <c r="T3" s="26"/>
      <c r="U3" s="26"/>
      <c r="V3" s="26"/>
      <c r="W3" s="26"/>
      <c r="X3" s="26"/>
      <c r="Y3" s="26"/>
      <c r="Z3" s="26"/>
    </row>
    <row r="4" spans="1:26" ht="13.5" customHeight="1" thickBot="1" x14ac:dyDescent="0.25">
      <c r="A4" s="25" t="s">
        <v>400</v>
      </c>
      <c r="B4" s="25" t="s">
        <v>403</v>
      </c>
      <c r="C4" s="25" t="s">
        <v>404</v>
      </c>
      <c r="D4" s="26"/>
      <c r="E4" s="26"/>
      <c r="F4" s="26"/>
      <c r="G4" s="26"/>
      <c r="H4" s="26"/>
      <c r="I4" s="26"/>
      <c r="J4" s="26"/>
      <c r="K4" s="26"/>
      <c r="L4" s="26"/>
      <c r="M4" s="26"/>
      <c r="N4" s="26"/>
      <c r="O4" s="26"/>
      <c r="P4" s="26"/>
      <c r="Q4" s="26"/>
      <c r="R4" s="26"/>
      <c r="S4" s="26"/>
      <c r="T4" s="26"/>
      <c r="U4" s="26"/>
      <c r="V4" s="26"/>
      <c r="W4" s="26"/>
      <c r="X4" s="26"/>
      <c r="Y4" s="26"/>
      <c r="Z4" s="26"/>
    </row>
    <row r="5" spans="1:26" ht="13.5" customHeight="1" thickBot="1" x14ac:dyDescent="0.25">
      <c r="A5" s="25" t="s">
        <v>400</v>
      </c>
      <c r="B5" s="25" t="s">
        <v>405</v>
      </c>
      <c r="C5" s="25" t="s">
        <v>406</v>
      </c>
      <c r="D5" s="26"/>
      <c r="E5" s="26"/>
      <c r="F5" s="26"/>
      <c r="G5" s="26"/>
      <c r="H5" s="26"/>
      <c r="I5" s="26"/>
      <c r="J5" s="26"/>
      <c r="K5" s="26"/>
      <c r="L5" s="26"/>
      <c r="M5" s="26"/>
      <c r="N5" s="26"/>
      <c r="O5" s="26"/>
      <c r="P5" s="26"/>
      <c r="Q5" s="26"/>
      <c r="R5" s="26"/>
      <c r="S5" s="26"/>
      <c r="T5" s="26"/>
      <c r="U5" s="26"/>
      <c r="V5" s="26"/>
      <c r="W5" s="26"/>
      <c r="X5" s="26"/>
      <c r="Y5" s="26"/>
      <c r="Z5" s="26"/>
    </row>
    <row r="6" spans="1:26" ht="13.5" customHeight="1" thickBot="1" x14ac:dyDescent="0.25">
      <c r="A6" s="25" t="s">
        <v>400</v>
      </c>
      <c r="B6" s="25" t="s">
        <v>407</v>
      </c>
      <c r="C6" s="25" t="s">
        <v>408</v>
      </c>
      <c r="D6" s="26"/>
      <c r="E6" s="26"/>
      <c r="F6" s="26"/>
      <c r="G6" s="26"/>
      <c r="H6" s="26"/>
      <c r="I6" s="26"/>
      <c r="J6" s="26"/>
      <c r="K6" s="26"/>
      <c r="L6" s="26"/>
      <c r="M6" s="26"/>
      <c r="N6" s="26"/>
      <c r="O6" s="26"/>
      <c r="P6" s="26"/>
      <c r="Q6" s="26"/>
      <c r="R6" s="26"/>
      <c r="S6" s="26"/>
      <c r="T6" s="26"/>
      <c r="U6" s="26"/>
      <c r="V6" s="26"/>
      <c r="W6" s="26"/>
      <c r="X6" s="26"/>
      <c r="Y6" s="26"/>
      <c r="Z6" s="26"/>
    </row>
    <row r="7" spans="1:26" ht="13.5" customHeight="1" thickBot="1" x14ac:dyDescent="0.25">
      <c r="A7" s="25" t="s">
        <v>400</v>
      </c>
      <c r="B7" s="25" t="s">
        <v>409</v>
      </c>
      <c r="C7" s="25" t="s">
        <v>410</v>
      </c>
      <c r="D7" s="26"/>
      <c r="E7" s="26"/>
      <c r="F7" s="26"/>
      <c r="G7" s="26"/>
      <c r="H7" s="26"/>
      <c r="I7" s="26"/>
      <c r="J7" s="26"/>
      <c r="K7" s="26"/>
      <c r="L7" s="26"/>
      <c r="M7" s="26"/>
      <c r="N7" s="26"/>
      <c r="O7" s="26"/>
      <c r="P7" s="26"/>
      <c r="Q7" s="26"/>
      <c r="R7" s="26"/>
      <c r="S7" s="26"/>
      <c r="T7" s="26"/>
      <c r="U7" s="26"/>
      <c r="V7" s="26"/>
      <c r="W7" s="26"/>
      <c r="X7" s="26"/>
      <c r="Y7" s="26"/>
      <c r="Z7" s="26"/>
    </row>
    <row r="8" spans="1:26" ht="13.5" customHeight="1" thickBot="1" x14ac:dyDescent="0.25">
      <c r="A8" s="25" t="s">
        <v>400</v>
      </c>
      <c r="B8" s="25" t="s">
        <v>411</v>
      </c>
      <c r="C8" s="25" t="s">
        <v>412</v>
      </c>
      <c r="D8" s="26"/>
      <c r="E8" s="26"/>
      <c r="F8" s="26"/>
      <c r="G8" s="26"/>
      <c r="H8" s="26"/>
      <c r="I8" s="26"/>
      <c r="J8" s="26"/>
      <c r="K8" s="26"/>
      <c r="L8" s="26"/>
      <c r="M8" s="26"/>
      <c r="N8" s="26"/>
      <c r="O8" s="26"/>
      <c r="P8" s="26"/>
      <c r="Q8" s="26"/>
      <c r="R8" s="26"/>
      <c r="S8" s="26"/>
      <c r="T8" s="26"/>
      <c r="U8" s="26"/>
      <c r="V8" s="26"/>
      <c r="W8" s="26"/>
      <c r="X8" s="26"/>
      <c r="Y8" s="26"/>
      <c r="Z8" s="26"/>
    </row>
    <row r="9" spans="1:26" ht="13.5" customHeight="1" thickBot="1" x14ac:dyDescent="0.25">
      <c r="A9" s="25" t="s">
        <v>413</v>
      </c>
      <c r="B9" s="25" t="s">
        <v>414</v>
      </c>
      <c r="C9" s="25" t="s">
        <v>415</v>
      </c>
      <c r="D9" s="26"/>
      <c r="E9" s="26"/>
      <c r="F9" s="26"/>
      <c r="G9" s="26"/>
      <c r="H9" s="26"/>
      <c r="I9" s="26"/>
      <c r="J9" s="26"/>
      <c r="K9" s="26"/>
      <c r="L9" s="26"/>
      <c r="M9" s="26"/>
      <c r="N9" s="26"/>
      <c r="O9" s="26"/>
      <c r="P9" s="26"/>
      <c r="Q9" s="26"/>
      <c r="R9" s="26"/>
      <c r="S9" s="26"/>
      <c r="T9" s="26"/>
      <c r="U9" s="26"/>
      <c r="V9" s="26"/>
      <c r="W9" s="26"/>
      <c r="X9" s="26"/>
      <c r="Y9" s="26"/>
      <c r="Z9" s="26"/>
    </row>
    <row r="10" spans="1:26" ht="13.5" customHeight="1" thickBot="1" x14ac:dyDescent="0.25">
      <c r="A10" s="25" t="s">
        <v>413</v>
      </c>
      <c r="B10" s="25" t="s">
        <v>416</v>
      </c>
      <c r="C10" s="25" t="s">
        <v>417</v>
      </c>
      <c r="D10" s="26"/>
      <c r="E10" s="26"/>
      <c r="F10" s="26"/>
      <c r="G10" s="26"/>
      <c r="H10" s="26"/>
      <c r="I10" s="26"/>
      <c r="J10" s="26"/>
      <c r="K10" s="26"/>
      <c r="L10" s="26"/>
      <c r="M10" s="26"/>
      <c r="N10" s="26"/>
      <c r="O10" s="26"/>
      <c r="P10" s="26"/>
      <c r="Q10" s="26"/>
      <c r="R10" s="26"/>
      <c r="S10" s="26"/>
      <c r="T10" s="26"/>
      <c r="U10" s="26"/>
      <c r="V10" s="26"/>
      <c r="W10" s="26"/>
      <c r="X10" s="26"/>
      <c r="Y10" s="26"/>
      <c r="Z10" s="26"/>
    </row>
    <row r="11" spans="1:26" ht="13.5" customHeight="1" thickBot="1" x14ac:dyDescent="0.25">
      <c r="A11" s="25" t="s">
        <v>413</v>
      </c>
      <c r="B11" s="25" t="s">
        <v>418</v>
      </c>
      <c r="C11" s="25" t="s">
        <v>419</v>
      </c>
      <c r="D11" s="26"/>
      <c r="E11" s="26"/>
      <c r="F11" s="26"/>
      <c r="G11" s="26"/>
      <c r="H11" s="26"/>
      <c r="I11" s="26"/>
      <c r="J11" s="26"/>
      <c r="K11" s="26"/>
      <c r="L11" s="26"/>
      <c r="M11" s="26"/>
      <c r="N11" s="26"/>
      <c r="O11" s="26"/>
      <c r="P11" s="26"/>
      <c r="Q11" s="26"/>
      <c r="R11" s="26"/>
      <c r="S11" s="26"/>
      <c r="T11" s="26"/>
      <c r="U11" s="26"/>
      <c r="V11" s="26"/>
      <c r="W11" s="26"/>
      <c r="X11" s="26"/>
      <c r="Y11" s="26"/>
      <c r="Z11" s="26"/>
    </row>
    <row r="12" spans="1:26" ht="13.5" customHeight="1" thickBot="1" x14ac:dyDescent="0.25">
      <c r="A12" s="25" t="s">
        <v>413</v>
      </c>
      <c r="B12" s="25" t="s">
        <v>420</v>
      </c>
      <c r="C12" s="25" t="s">
        <v>421</v>
      </c>
      <c r="D12" s="26"/>
      <c r="E12" s="26"/>
      <c r="F12" s="26"/>
      <c r="G12" s="26"/>
      <c r="H12" s="26"/>
      <c r="I12" s="26"/>
      <c r="J12" s="26"/>
      <c r="K12" s="26"/>
      <c r="L12" s="26"/>
      <c r="M12" s="26"/>
      <c r="N12" s="26"/>
      <c r="O12" s="26"/>
      <c r="P12" s="26"/>
      <c r="Q12" s="26"/>
      <c r="R12" s="26"/>
      <c r="S12" s="26"/>
      <c r="T12" s="26"/>
      <c r="U12" s="26"/>
      <c r="V12" s="26"/>
      <c r="W12" s="26"/>
      <c r="X12" s="26"/>
      <c r="Y12" s="26"/>
      <c r="Z12" s="26"/>
    </row>
    <row r="13" spans="1:26" ht="13.5" customHeight="1" thickBot="1" x14ac:dyDescent="0.25">
      <c r="A13" s="25" t="s">
        <v>413</v>
      </c>
      <c r="B13" s="25" t="s">
        <v>422</v>
      </c>
      <c r="C13" s="25" t="s">
        <v>423</v>
      </c>
      <c r="D13" s="26"/>
      <c r="E13" s="26"/>
      <c r="F13" s="26"/>
      <c r="G13" s="26"/>
      <c r="H13" s="26"/>
      <c r="I13" s="26"/>
      <c r="J13" s="26"/>
      <c r="K13" s="26"/>
      <c r="L13" s="26"/>
      <c r="M13" s="26"/>
      <c r="N13" s="26"/>
      <c r="O13" s="26"/>
      <c r="P13" s="26"/>
      <c r="Q13" s="26"/>
      <c r="R13" s="26"/>
      <c r="S13" s="26"/>
      <c r="T13" s="26"/>
      <c r="U13" s="26"/>
      <c r="V13" s="26"/>
      <c r="W13" s="26"/>
      <c r="X13" s="26"/>
      <c r="Y13" s="26"/>
      <c r="Z13" s="26"/>
    </row>
    <row r="14" spans="1:26" ht="13.5" customHeight="1" thickBot="1" x14ac:dyDescent="0.25">
      <c r="A14" s="25" t="s">
        <v>424</v>
      </c>
      <c r="B14" s="25" t="s">
        <v>19</v>
      </c>
      <c r="C14" s="25" t="s">
        <v>425</v>
      </c>
      <c r="D14" s="26"/>
      <c r="E14" s="26"/>
      <c r="F14" s="26"/>
      <c r="G14" s="26"/>
      <c r="H14" s="26"/>
      <c r="I14" s="26"/>
      <c r="J14" s="26"/>
      <c r="K14" s="26"/>
      <c r="L14" s="26"/>
      <c r="M14" s="26"/>
      <c r="N14" s="26"/>
      <c r="O14" s="26"/>
      <c r="P14" s="26"/>
      <c r="Q14" s="26"/>
      <c r="R14" s="26"/>
      <c r="S14" s="26"/>
      <c r="T14" s="26"/>
      <c r="U14" s="26"/>
      <c r="V14" s="26"/>
      <c r="W14" s="26"/>
      <c r="X14" s="26"/>
      <c r="Y14" s="26"/>
      <c r="Z14" s="26"/>
    </row>
    <row r="15" spans="1:26" ht="13.5" customHeight="1" thickBot="1" x14ac:dyDescent="0.25">
      <c r="A15" s="25" t="s">
        <v>424</v>
      </c>
      <c r="B15" s="25" t="s">
        <v>7</v>
      </c>
      <c r="C15" s="25" t="s">
        <v>426</v>
      </c>
      <c r="D15" s="26"/>
      <c r="E15" s="26"/>
      <c r="F15" s="26"/>
      <c r="G15" s="26"/>
      <c r="H15" s="26"/>
      <c r="I15" s="26"/>
      <c r="J15" s="26"/>
      <c r="K15" s="26"/>
      <c r="L15" s="26"/>
      <c r="M15" s="26"/>
      <c r="N15" s="26"/>
      <c r="O15" s="26"/>
      <c r="P15" s="26"/>
      <c r="Q15" s="26"/>
      <c r="R15" s="26"/>
      <c r="S15" s="26"/>
      <c r="T15" s="26"/>
      <c r="U15" s="26"/>
      <c r="V15" s="26"/>
      <c r="W15" s="26"/>
      <c r="X15" s="26"/>
      <c r="Y15" s="26"/>
      <c r="Z15" s="26"/>
    </row>
    <row r="16" spans="1:26" ht="13.5" customHeight="1" thickBot="1" x14ac:dyDescent="0.25">
      <c r="A16" s="25" t="s">
        <v>427</v>
      </c>
      <c r="B16" s="25" t="s">
        <v>35</v>
      </c>
      <c r="C16" s="25" t="s">
        <v>428</v>
      </c>
      <c r="D16" s="26"/>
      <c r="E16" s="26"/>
      <c r="F16" s="26"/>
      <c r="G16" s="26"/>
      <c r="H16" s="26"/>
      <c r="I16" s="26"/>
      <c r="J16" s="26"/>
      <c r="K16" s="26"/>
      <c r="L16" s="26"/>
      <c r="M16" s="26"/>
      <c r="N16" s="26"/>
      <c r="O16" s="26"/>
      <c r="P16" s="26"/>
      <c r="Q16" s="26"/>
      <c r="R16" s="26"/>
      <c r="S16" s="26"/>
      <c r="T16" s="26"/>
      <c r="U16" s="26"/>
      <c r="V16" s="26"/>
      <c r="W16" s="26"/>
      <c r="X16" s="26"/>
      <c r="Y16" s="26"/>
      <c r="Z16" s="26"/>
    </row>
    <row r="17" spans="1:26" ht="13.5" customHeight="1" thickBot="1" x14ac:dyDescent="0.25">
      <c r="A17" s="25" t="s">
        <v>427</v>
      </c>
      <c r="B17" s="25" t="s">
        <v>25</v>
      </c>
      <c r="C17" s="25" t="s">
        <v>429</v>
      </c>
      <c r="D17" s="26"/>
      <c r="E17" s="26"/>
      <c r="F17" s="26"/>
      <c r="G17" s="26"/>
      <c r="H17" s="26"/>
      <c r="I17" s="26"/>
      <c r="J17" s="26"/>
      <c r="K17" s="26"/>
      <c r="L17" s="26"/>
      <c r="M17" s="26"/>
      <c r="N17" s="26"/>
      <c r="O17" s="26"/>
      <c r="P17" s="26"/>
      <c r="Q17" s="26"/>
      <c r="R17" s="26"/>
      <c r="S17" s="26"/>
      <c r="T17" s="26"/>
      <c r="U17" s="26"/>
      <c r="V17" s="26"/>
      <c r="W17" s="26"/>
      <c r="X17" s="26"/>
      <c r="Y17" s="26"/>
      <c r="Z17" s="26"/>
    </row>
    <row r="18" spans="1:26" ht="13.5" customHeight="1" thickBot="1" x14ac:dyDescent="0.25">
      <c r="A18" s="25" t="s">
        <v>430</v>
      </c>
      <c r="B18" s="25" t="s">
        <v>431</v>
      </c>
      <c r="C18" s="25" t="s">
        <v>432</v>
      </c>
      <c r="D18" s="27" t="s">
        <v>433</v>
      </c>
      <c r="E18" s="26"/>
      <c r="F18" s="26"/>
      <c r="G18" s="26"/>
      <c r="H18" s="26"/>
      <c r="I18" s="26"/>
      <c r="J18" s="26"/>
      <c r="K18" s="26"/>
      <c r="L18" s="26"/>
      <c r="M18" s="26"/>
      <c r="N18" s="26"/>
      <c r="O18" s="26"/>
      <c r="P18" s="26"/>
      <c r="Q18" s="26"/>
      <c r="R18" s="26"/>
      <c r="S18" s="26"/>
      <c r="T18" s="26"/>
      <c r="U18" s="26"/>
      <c r="V18" s="26"/>
      <c r="W18" s="26"/>
      <c r="X18" s="26"/>
      <c r="Y18" s="26"/>
      <c r="Z18" s="26"/>
    </row>
    <row r="19" spans="1:26" ht="13.5" customHeight="1" thickBot="1" x14ac:dyDescent="0.25">
      <c r="A19" s="25" t="s">
        <v>47</v>
      </c>
      <c r="B19" s="25" t="s">
        <v>47</v>
      </c>
      <c r="C19" s="25" t="s">
        <v>434</v>
      </c>
      <c r="D19" s="26"/>
      <c r="E19" s="26"/>
      <c r="F19" s="26"/>
      <c r="G19" s="26"/>
      <c r="H19" s="26"/>
      <c r="I19" s="26"/>
      <c r="J19" s="26"/>
      <c r="K19" s="26"/>
      <c r="L19" s="26"/>
      <c r="M19" s="26"/>
      <c r="N19" s="26"/>
      <c r="O19" s="26"/>
      <c r="P19" s="26"/>
      <c r="Q19" s="26"/>
      <c r="R19" s="26"/>
      <c r="S19" s="26"/>
      <c r="T19" s="26"/>
      <c r="U19" s="26"/>
      <c r="V19" s="26"/>
      <c r="W19" s="26"/>
      <c r="X19" s="26"/>
      <c r="Y19" s="26"/>
      <c r="Z19" s="26"/>
    </row>
    <row r="20" spans="1:26" ht="13.5" customHeight="1" thickBot="1" x14ac:dyDescent="0.25">
      <c r="A20" s="25" t="s">
        <v>156</v>
      </c>
      <c r="B20" s="25" t="s">
        <v>156</v>
      </c>
      <c r="C20" s="25" t="s">
        <v>435</v>
      </c>
      <c r="D20" s="26"/>
      <c r="E20" s="26"/>
      <c r="F20" s="26"/>
      <c r="G20" s="26"/>
      <c r="H20" s="26"/>
      <c r="I20" s="26"/>
      <c r="J20" s="26"/>
      <c r="K20" s="26"/>
      <c r="L20" s="26"/>
      <c r="M20" s="26"/>
      <c r="N20" s="26"/>
      <c r="O20" s="26"/>
      <c r="P20" s="26"/>
      <c r="Q20" s="26"/>
      <c r="R20" s="26"/>
      <c r="S20" s="26"/>
      <c r="T20" s="26"/>
      <c r="U20" s="26"/>
      <c r="V20" s="26"/>
      <c r="W20" s="26"/>
      <c r="X20" s="26"/>
      <c r="Y20" s="26"/>
      <c r="Z20" s="26"/>
    </row>
    <row r="21" spans="1:26" ht="13.5" customHeight="1" thickBot="1" x14ac:dyDescent="0.25">
      <c r="A21" s="25" t="s">
        <v>436</v>
      </c>
      <c r="B21" s="25" t="s">
        <v>437</v>
      </c>
      <c r="C21" s="25" t="s">
        <v>438</v>
      </c>
      <c r="D21" s="26"/>
      <c r="E21" s="26"/>
      <c r="F21" s="26"/>
      <c r="G21" s="26"/>
      <c r="H21" s="26"/>
      <c r="I21" s="26"/>
      <c r="J21" s="26"/>
      <c r="K21" s="26"/>
      <c r="L21" s="26"/>
      <c r="M21" s="26"/>
      <c r="N21" s="26"/>
      <c r="O21" s="26"/>
      <c r="P21" s="26"/>
      <c r="Q21" s="26"/>
      <c r="R21" s="26"/>
      <c r="S21" s="26"/>
      <c r="T21" s="26"/>
      <c r="U21" s="26"/>
      <c r="V21" s="26"/>
      <c r="W21" s="26"/>
      <c r="X21" s="26"/>
      <c r="Y21" s="26"/>
      <c r="Z21" s="26"/>
    </row>
    <row r="22" spans="1:26" ht="13.5" customHeight="1" thickBot="1" x14ac:dyDescent="0.25">
      <c r="A22" s="25" t="s">
        <v>439</v>
      </c>
      <c r="B22" s="25" t="s">
        <v>149</v>
      </c>
      <c r="C22" s="25" t="s">
        <v>440</v>
      </c>
      <c r="D22" s="26"/>
      <c r="E22" s="26"/>
      <c r="F22" s="26"/>
      <c r="G22" s="26"/>
      <c r="H22" s="26"/>
      <c r="I22" s="26"/>
      <c r="J22" s="26"/>
      <c r="K22" s="26"/>
      <c r="L22" s="26"/>
      <c r="M22" s="26"/>
      <c r="N22" s="26"/>
      <c r="O22" s="26"/>
      <c r="P22" s="26"/>
      <c r="Q22" s="26"/>
      <c r="R22" s="26"/>
      <c r="S22" s="26"/>
      <c r="T22" s="26"/>
      <c r="U22" s="26"/>
      <c r="V22" s="26"/>
      <c r="W22" s="26"/>
      <c r="X22" s="26"/>
      <c r="Y22" s="26"/>
      <c r="Z22" s="26"/>
    </row>
    <row r="23" spans="1:26" ht="13.5" customHeight="1" thickBot="1" x14ac:dyDescent="0.25">
      <c r="A23" s="25" t="s">
        <v>441</v>
      </c>
      <c r="B23" s="25" t="s">
        <v>441</v>
      </c>
      <c r="C23" s="25" t="s">
        <v>442</v>
      </c>
      <c r="D23" s="26"/>
      <c r="E23" s="26"/>
      <c r="F23" s="26"/>
      <c r="G23" s="26"/>
      <c r="H23" s="26"/>
      <c r="I23" s="26"/>
      <c r="J23" s="26"/>
      <c r="K23" s="26"/>
      <c r="L23" s="26"/>
      <c r="M23" s="26"/>
      <c r="N23" s="26"/>
      <c r="O23" s="26"/>
      <c r="P23" s="26"/>
      <c r="Q23" s="26"/>
      <c r="R23" s="26"/>
      <c r="S23" s="26"/>
      <c r="T23" s="26"/>
      <c r="U23" s="26"/>
      <c r="V23" s="26"/>
      <c r="W23" s="26"/>
      <c r="X23" s="26"/>
      <c r="Y23" s="26"/>
      <c r="Z23" s="26"/>
    </row>
    <row r="24" spans="1:26" ht="13.5" customHeight="1" thickBot="1" x14ac:dyDescent="0.25">
      <c r="A24" s="25" t="s">
        <v>141</v>
      </c>
      <c r="B24" s="25" t="s">
        <v>141</v>
      </c>
      <c r="C24" s="25" t="s">
        <v>443</v>
      </c>
      <c r="D24" s="26"/>
      <c r="E24" s="26"/>
      <c r="F24" s="26"/>
      <c r="G24" s="26"/>
      <c r="H24" s="26"/>
      <c r="I24" s="26"/>
      <c r="J24" s="26"/>
      <c r="K24" s="26"/>
      <c r="L24" s="26"/>
      <c r="M24" s="26"/>
      <c r="N24" s="26"/>
      <c r="O24" s="26"/>
      <c r="P24" s="26"/>
      <c r="Q24" s="26"/>
      <c r="R24" s="26"/>
      <c r="S24" s="26"/>
      <c r="T24" s="26"/>
      <c r="U24" s="26"/>
      <c r="V24" s="26"/>
      <c r="W24" s="26"/>
      <c r="X24" s="26"/>
      <c r="Y24" s="26"/>
      <c r="Z24" s="26"/>
    </row>
    <row r="25" spans="1:26" ht="13.5" customHeight="1" thickBot="1" x14ac:dyDescent="0.25">
      <c r="A25" s="25" t="s">
        <v>238</v>
      </c>
      <c r="B25" s="25" t="s">
        <v>444</v>
      </c>
      <c r="C25" s="25" t="s">
        <v>445</v>
      </c>
      <c r="D25" s="26"/>
      <c r="E25" s="26"/>
      <c r="F25" s="26"/>
      <c r="G25" s="26"/>
      <c r="H25" s="26"/>
      <c r="I25" s="26"/>
      <c r="J25" s="26"/>
      <c r="K25" s="26"/>
      <c r="L25" s="26"/>
      <c r="M25" s="26"/>
      <c r="N25" s="26"/>
      <c r="O25" s="26"/>
      <c r="P25" s="26"/>
      <c r="Q25" s="26"/>
      <c r="R25" s="26"/>
      <c r="S25" s="26"/>
      <c r="T25" s="26"/>
      <c r="U25" s="26"/>
      <c r="V25" s="26"/>
      <c r="W25" s="26"/>
      <c r="X25" s="26"/>
      <c r="Y25" s="26"/>
      <c r="Z25" s="26"/>
    </row>
    <row r="26" spans="1:26" ht="13.5" customHeight="1" thickBot="1" x14ac:dyDescent="0.25">
      <c r="A26" s="25" t="s">
        <v>183</v>
      </c>
      <c r="B26" s="25" t="s">
        <v>183</v>
      </c>
      <c r="C26" s="25" t="s">
        <v>446</v>
      </c>
      <c r="D26" s="26"/>
      <c r="E26" s="26"/>
      <c r="F26" s="26"/>
      <c r="G26" s="26"/>
      <c r="H26" s="26"/>
      <c r="I26" s="26"/>
      <c r="J26" s="26"/>
      <c r="K26" s="26"/>
      <c r="L26" s="26"/>
      <c r="M26" s="26"/>
      <c r="N26" s="26"/>
      <c r="O26" s="26"/>
      <c r="P26" s="26"/>
      <c r="Q26" s="26"/>
      <c r="R26" s="26"/>
      <c r="S26" s="26"/>
      <c r="T26" s="26"/>
      <c r="U26" s="26"/>
      <c r="V26" s="26"/>
      <c r="W26" s="26"/>
      <c r="X26" s="26"/>
      <c r="Y26" s="26"/>
      <c r="Z26" s="26"/>
    </row>
    <row r="27" spans="1:26" ht="13.5" customHeight="1" thickBot="1" x14ac:dyDescent="0.25">
      <c r="A27" s="25" t="s">
        <v>194</v>
      </c>
      <c r="B27" s="25" t="s">
        <v>194</v>
      </c>
      <c r="C27" s="25" t="s">
        <v>447</v>
      </c>
      <c r="D27" s="26"/>
      <c r="E27" s="26"/>
      <c r="F27" s="26"/>
      <c r="G27" s="26"/>
      <c r="H27" s="26"/>
      <c r="I27" s="26"/>
      <c r="J27" s="26"/>
      <c r="K27" s="26"/>
      <c r="L27" s="26"/>
      <c r="M27" s="26"/>
      <c r="N27" s="26"/>
      <c r="O27" s="26"/>
      <c r="P27" s="26"/>
      <c r="Q27" s="26"/>
      <c r="R27" s="26"/>
      <c r="S27" s="26"/>
      <c r="T27" s="26"/>
      <c r="U27" s="26"/>
      <c r="V27" s="26"/>
      <c r="W27" s="26"/>
      <c r="X27" s="26"/>
      <c r="Y27" s="26"/>
      <c r="Z27" s="26"/>
    </row>
    <row r="28" spans="1:26" ht="18" customHeight="1" thickBot="1" x14ac:dyDescent="0.25">
      <c r="A28" s="25" t="s">
        <v>200</v>
      </c>
      <c r="B28" s="25" t="s">
        <v>200</v>
      </c>
      <c r="C28" s="25" t="s">
        <v>448</v>
      </c>
      <c r="D28" s="26"/>
      <c r="E28" s="26"/>
      <c r="F28" s="26"/>
      <c r="G28" s="26"/>
      <c r="H28" s="26"/>
      <c r="I28" s="26"/>
      <c r="J28" s="26"/>
      <c r="K28" s="26"/>
      <c r="L28" s="26"/>
      <c r="M28" s="26"/>
      <c r="N28" s="26"/>
      <c r="O28" s="26"/>
      <c r="P28" s="26"/>
      <c r="Q28" s="26"/>
      <c r="R28" s="26"/>
      <c r="S28" s="26"/>
      <c r="T28" s="26"/>
      <c r="U28" s="26"/>
      <c r="V28" s="26"/>
      <c r="W28" s="26"/>
      <c r="X28" s="26"/>
      <c r="Y28" s="26"/>
      <c r="Z28" s="26"/>
    </row>
    <row r="29" spans="1:26" ht="13.5" customHeight="1" thickBot="1" x14ac:dyDescent="0.25">
      <c r="A29" s="25" t="s">
        <v>449</v>
      </c>
      <c r="B29" s="25" t="s">
        <v>212</v>
      </c>
      <c r="C29" s="25" t="s">
        <v>450</v>
      </c>
      <c r="D29" s="26"/>
      <c r="E29" s="26"/>
      <c r="F29" s="26"/>
      <c r="G29" s="26"/>
      <c r="H29" s="26"/>
      <c r="I29" s="26"/>
      <c r="J29" s="26"/>
      <c r="K29" s="26"/>
      <c r="L29" s="26"/>
      <c r="M29" s="26"/>
      <c r="N29" s="26"/>
      <c r="O29" s="26"/>
      <c r="P29" s="26"/>
      <c r="Q29" s="26"/>
      <c r="R29" s="26"/>
      <c r="S29" s="26"/>
      <c r="T29" s="26"/>
      <c r="U29" s="26"/>
      <c r="V29" s="26"/>
      <c r="W29" s="26"/>
      <c r="X29" s="26"/>
      <c r="Y29" s="26"/>
      <c r="Z29" s="26"/>
    </row>
    <row r="30" spans="1:26" ht="13.5" customHeight="1" thickBot="1" x14ac:dyDescent="0.25">
      <c r="A30" s="25" t="s">
        <v>451</v>
      </c>
      <c r="B30" s="25" t="s">
        <v>452</v>
      </c>
      <c r="C30" s="25" t="s">
        <v>453</v>
      </c>
      <c r="D30" s="26"/>
      <c r="E30" s="26"/>
      <c r="F30" s="26"/>
      <c r="G30" s="26"/>
      <c r="H30" s="26"/>
      <c r="I30" s="26"/>
      <c r="J30" s="26"/>
      <c r="K30" s="26"/>
      <c r="L30" s="26"/>
      <c r="M30" s="26"/>
      <c r="N30" s="26"/>
      <c r="O30" s="26"/>
      <c r="P30" s="26"/>
      <c r="Q30" s="26"/>
      <c r="R30" s="26"/>
      <c r="S30" s="26"/>
      <c r="T30" s="26"/>
      <c r="U30" s="26"/>
      <c r="V30" s="26"/>
      <c r="W30" s="26"/>
      <c r="X30" s="26"/>
      <c r="Y30" s="26"/>
      <c r="Z30" s="26"/>
    </row>
    <row r="31" spans="1:26" ht="13.5" customHeight="1" thickBot="1" x14ac:dyDescent="0.25">
      <c r="A31" s="25" t="s">
        <v>220</v>
      </c>
      <c r="B31" s="25" t="s">
        <v>220</v>
      </c>
      <c r="C31" s="25" t="s">
        <v>454</v>
      </c>
      <c r="D31" s="26"/>
      <c r="E31" s="26"/>
      <c r="F31" s="26"/>
      <c r="G31" s="26"/>
      <c r="H31" s="26"/>
      <c r="I31" s="26"/>
      <c r="J31" s="26"/>
      <c r="K31" s="26"/>
      <c r="L31" s="26"/>
      <c r="M31" s="26"/>
      <c r="N31" s="26"/>
      <c r="O31" s="26"/>
      <c r="P31" s="26"/>
      <c r="Q31" s="26"/>
      <c r="R31" s="26"/>
      <c r="S31" s="26"/>
      <c r="T31" s="26"/>
      <c r="U31" s="26"/>
      <c r="V31" s="26"/>
      <c r="W31" s="26"/>
      <c r="X31" s="26"/>
      <c r="Y31" s="26"/>
      <c r="Z31" s="26"/>
    </row>
    <row r="32" spans="1:26" ht="13.5" customHeight="1" thickBot="1" x14ac:dyDescent="0.25">
      <c r="A32" s="25" t="s">
        <v>455</v>
      </c>
      <c r="B32" s="25" t="s">
        <v>456</v>
      </c>
      <c r="C32" s="25" t="s">
        <v>457</v>
      </c>
      <c r="D32" s="26"/>
      <c r="E32" s="26"/>
      <c r="F32" s="26"/>
      <c r="G32" s="26"/>
      <c r="H32" s="26"/>
      <c r="I32" s="26"/>
      <c r="J32" s="26"/>
      <c r="K32" s="26"/>
      <c r="L32" s="26"/>
      <c r="M32" s="26"/>
      <c r="N32" s="26"/>
      <c r="O32" s="26"/>
      <c r="P32" s="26"/>
      <c r="Q32" s="26"/>
      <c r="R32" s="26"/>
      <c r="S32" s="26"/>
      <c r="T32" s="26"/>
      <c r="U32" s="26"/>
      <c r="V32" s="26"/>
      <c r="W32" s="26"/>
      <c r="X32" s="26"/>
      <c r="Y32" s="26"/>
      <c r="Z32" s="26"/>
    </row>
    <row r="33" spans="1:26" ht="13.5" customHeight="1" x14ac:dyDescent="0.2">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34" spans="1:26" ht="13.5" customHeight="1" x14ac:dyDescent="0.2">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row>
    <row r="35" spans="1:26" ht="13.5" customHeight="1" x14ac:dyDescent="0.2">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row>
    <row r="36" spans="1:26" ht="13.5" customHeight="1" x14ac:dyDescent="0.2">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row>
    <row r="37" spans="1:26" ht="13.5" customHeight="1" x14ac:dyDescent="0.2">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row>
    <row r="38" spans="1:26" ht="13.5" customHeight="1" x14ac:dyDescent="0.2">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row>
    <row r="39" spans="1:26" ht="13.5" customHeight="1" x14ac:dyDescent="0.2">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spans="1:26" ht="13.5" customHeight="1" x14ac:dyDescent="0.2">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row>
    <row r="41" spans="1:26" ht="13.5" customHeight="1" x14ac:dyDescent="0.2">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row>
    <row r="42" spans="1:26" ht="13.5" customHeight="1" x14ac:dyDescent="0.2">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row>
    <row r="43" spans="1:26" ht="13.5" customHeight="1" x14ac:dyDescent="0.2">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row>
    <row r="44" spans="1:26" ht="13.5" customHeight="1" x14ac:dyDescent="0.2">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row>
    <row r="45" spans="1:26" ht="13.5" customHeight="1" x14ac:dyDescent="0.2">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row>
    <row r="46" spans="1:26" ht="13.5" customHeight="1" x14ac:dyDescent="0.2">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row>
    <row r="47" spans="1:26" ht="13.5" customHeight="1" x14ac:dyDescent="0.2">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row>
    <row r="48" spans="1:26" ht="13.5" customHeight="1" x14ac:dyDescent="0.2">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row>
    <row r="49" spans="1:26" ht="13.5" customHeight="1" x14ac:dyDescent="0.2">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row>
    <row r="50" spans="1:26" ht="13.5" customHeight="1" x14ac:dyDescent="0.2">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row>
    <row r="51" spans="1:26" ht="13.5" customHeight="1" x14ac:dyDescent="0.2">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row>
    <row r="52" spans="1:26" ht="13.5" customHeight="1" x14ac:dyDescent="0.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row>
    <row r="53" spans="1:26" ht="13.5" customHeight="1"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row>
    <row r="54" spans="1:26" ht="13.5" customHeight="1"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row>
    <row r="55" spans="1:26" ht="13.5" customHeight="1"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row>
    <row r="56" spans="1:26" ht="13.5" customHeight="1"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row>
    <row r="57" spans="1:26" ht="13.5" customHeight="1"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row>
    <row r="58" spans="1:26" ht="13.5" customHeight="1"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row>
    <row r="59" spans="1:26" ht="13.5" customHeight="1" x14ac:dyDescent="0.2">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row>
    <row r="60" spans="1:26" ht="13.5" customHeight="1" x14ac:dyDescent="0.2">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row>
    <row r="61" spans="1:26" ht="13.5" customHeight="1" x14ac:dyDescent="0.2">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row>
    <row r="62" spans="1:26" ht="13.5" customHeight="1" x14ac:dyDescent="0.2">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row>
    <row r="63" spans="1:26" ht="13.5" customHeight="1" x14ac:dyDescent="0.2">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row>
    <row r="64" spans="1:26" ht="13.5" customHeight="1" x14ac:dyDescent="0.2">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row>
    <row r="65" spans="1:26" ht="13.5" customHeight="1" x14ac:dyDescent="0.2">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row>
    <row r="66" spans="1:26" ht="13.5" customHeight="1" x14ac:dyDescent="0.2">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row>
    <row r="67" spans="1:26" ht="13.5" customHeight="1" x14ac:dyDescent="0.2">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row>
    <row r="68" spans="1:26" ht="13.5" customHeight="1" x14ac:dyDescent="0.2">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row>
    <row r="69" spans="1:26" ht="13.5" customHeight="1" x14ac:dyDescent="0.2">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row>
    <row r="70" spans="1:26" ht="13.5" customHeight="1" x14ac:dyDescent="0.2">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row>
    <row r="71" spans="1:26" ht="13.5" customHeight="1" x14ac:dyDescent="0.2">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row>
    <row r="72" spans="1:26" ht="13.5" customHeight="1" x14ac:dyDescent="0.2">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row>
    <row r="73" spans="1:26" ht="13.5" customHeight="1" x14ac:dyDescent="0.2">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row>
    <row r="74" spans="1:26" ht="13.5" customHeight="1" x14ac:dyDescent="0.2">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row>
    <row r="75" spans="1:26" ht="13.5" customHeight="1" x14ac:dyDescent="0.2">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row>
    <row r="76" spans="1:26" ht="13.5" customHeight="1" x14ac:dyDescent="0.2">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row>
    <row r="77" spans="1:26" ht="13.5" customHeight="1" x14ac:dyDescent="0.2">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row>
    <row r="78" spans="1:26" ht="13.5" customHeight="1" x14ac:dyDescent="0.2">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row>
    <row r="79" spans="1:26" ht="13.5" customHeight="1" x14ac:dyDescent="0.2">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row>
    <row r="80" spans="1:26" ht="13.5" customHeight="1" x14ac:dyDescent="0.2">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row>
    <row r="81" spans="1:26" ht="13.5" customHeight="1" x14ac:dyDescent="0.2">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row>
    <row r="82" spans="1:26" ht="13.5" customHeight="1" x14ac:dyDescent="0.2">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row>
    <row r="83" spans="1:26" ht="13.5" customHeight="1" x14ac:dyDescent="0.2">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spans="1:26" ht="13.5" customHeight="1" x14ac:dyDescent="0.2">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spans="1:26" ht="13.5" customHeight="1" x14ac:dyDescent="0.2">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spans="1:26" ht="13.5" customHeight="1" x14ac:dyDescent="0.2">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spans="1:26" ht="13.5" customHeight="1" x14ac:dyDescent="0.2">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spans="1:26" ht="13.5" customHeight="1" x14ac:dyDescent="0.2">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spans="1:26" ht="13.5" customHeight="1" x14ac:dyDescent="0.2">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spans="1:26" ht="13.5" customHeight="1" x14ac:dyDescent="0.2">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spans="1:26" ht="13.5" customHeight="1" x14ac:dyDescent="0.2">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spans="1:26" ht="13.5" customHeight="1" x14ac:dyDescent="0.2">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spans="1:26" ht="13.5" customHeight="1" x14ac:dyDescent="0.2">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spans="1:26" ht="13.5" customHeight="1" x14ac:dyDescent="0.2">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spans="1:26" ht="13.5" customHeight="1" x14ac:dyDescent="0.2">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spans="1:26" ht="13.5" customHeight="1" x14ac:dyDescent="0.2">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spans="1:26" ht="13.5" customHeight="1" x14ac:dyDescent="0.2">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spans="1:26" ht="13.5" customHeight="1" x14ac:dyDescent="0.2">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spans="1:26" ht="13.5" customHeight="1" x14ac:dyDescent="0.2">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spans="1:26" ht="13.5" customHeight="1" x14ac:dyDescent="0.2">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spans="1:26" ht="13.5" customHeight="1" x14ac:dyDescent="0.2">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spans="1:26" ht="13.5" customHeight="1" x14ac:dyDescent="0.2">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spans="1:26" ht="13.5" customHeight="1" x14ac:dyDescent="0.2">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spans="1:26" ht="13.5" customHeight="1" x14ac:dyDescent="0.2">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spans="1:26" ht="13.5" customHeight="1" x14ac:dyDescent="0.2">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spans="1:26" ht="13.5" customHeight="1" x14ac:dyDescent="0.2">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spans="1:26" ht="13.5" customHeight="1" x14ac:dyDescent="0.2">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spans="1:26" ht="13.5" customHeight="1" x14ac:dyDescent="0.2">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spans="1:26" ht="13.5" customHeight="1" x14ac:dyDescent="0.2">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spans="1:26" ht="13.5" customHeight="1" x14ac:dyDescent="0.2">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spans="1:26" ht="13.5" customHeight="1" x14ac:dyDescent="0.2">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spans="1:26" ht="13.5" customHeight="1" x14ac:dyDescent="0.2">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spans="1:26" ht="13.5" customHeight="1" x14ac:dyDescent="0.2">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spans="1:26" ht="13.5" customHeight="1" x14ac:dyDescent="0.2">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spans="1:26" ht="13.5" customHeight="1" x14ac:dyDescent="0.2">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ht="13.5" customHeight="1" x14ac:dyDescent="0.2">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spans="1:26" ht="13.5" customHeight="1" x14ac:dyDescent="0.2">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spans="1:26" ht="13.5" customHeight="1" x14ac:dyDescent="0.2">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spans="1:26" ht="13.5" customHeight="1" x14ac:dyDescent="0.2">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spans="1:26" ht="13.5" customHeight="1" x14ac:dyDescent="0.2">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spans="1:26" ht="13.5" customHeight="1" x14ac:dyDescent="0.2">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spans="1:26" ht="13.5" customHeight="1" x14ac:dyDescent="0.2">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spans="1:26" ht="13.5" customHeight="1" x14ac:dyDescent="0.2">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spans="1:26" ht="13.5" customHeight="1" x14ac:dyDescent="0.2">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spans="1:26" ht="13.5" customHeight="1" x14ac:dyDescent="0.2">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spans="1:26" ht="13.5" customHeight="1" x14ac:dyDescent="0.2">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spans="1:26" ht="13.5" customHeight="1" x14ac:dyDescent="0.2">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spans="1:26" ht="13.5" customHeight="1" x14ac:dyDescent="0.2">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spans="1:26" ht="13.5" customHeight="1" x14ac:dyDescent="0.2">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spans="1:26" ht="13.5" customHeight="1" x14ac:dyDescent="0.2">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spans="1:26" ht="13.5" customHeight="1" x14ac:dyDescent="0.2">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spans="1:26" ht="13.5" customHeight="1" x14ac:dyDescent="0.2">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spans="1:26" ht="13.5" customHeight="1" x14ac:dyDescent="0.2">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spans="1:26" ht="13.5" customHeight="1" x14ac:dyDescent="0.2">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spans="1:26" ht="13.5" customHeight="1" x14ac:dyDescent="0.2">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spans="1:26" ht="13.5" customHeight="1" x14ac:dyDescent="0.2">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spans="1:26" ht="13.5" customHeight="1" x14ac:dyDescent="0.2">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spans="1:26" ht="13.5" customHeight="1" x14ac:dyDescent="0.2">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ht="13.5" customHeight="1" x14ac:dyDescent="0.2">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spans="1:26" ht="13.5" customHeight="1" x14ac:dyDescent="0.2">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spans="1:26" ht="13.5" customHeight="1" x14ac:dyDescent="0.2">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spans="1:26" ht="13.5" customHeight="1" x14ac:dyDescent="0.2">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spans="1:26" ht="13.5" customHeight="1" x14ac:dyDescent="0.2">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spans="1:26" ht="13.5" customHeight="1" x14ac:dyDescent="0.2">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spans="1:26" ht="13.5" customHeight="1" x14ac:dyDescent="0.2">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spans="1:26" ht="13.5" customHeight="1" x14ac:dyDescent="0.2">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spans="1:26" ht="13.5" customHeight="1" x14ac:dyDescent="0.2">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spans="1:26" ht="13.5" customHeight="1" x14ac:dyDescent="0.2">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spans="1:26" ht="13.5" customHeight="1" x14ac:dyDescent="0.2">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3.5" customHeight="1" x14ac:dyDescent="0.2">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spans="1:26" ht="13.5" customHeight="1" x14ac:dyDescent="0.2">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spans="1:26" ht="13.5" customHeight="1" x14ac:dyDescent="0.2">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spans="1:26" ht="13.5" customHeight="1" x14ac:dyDescent="0.2">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spans="1:26" ht="13.5" customHeight="1" x14ac:dyDescent="0.2">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spans="1:26" ht="13.5" customHeight="1" x14ac:dyDescent="0.2">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spans="1:26" ht="13.5" customHeight="1" x14ac:dyDescent="0.2">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spans="1:26" ht="13.5" customHeight="1" x14ac:dyDescent="0.2">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spans="1:26" ht="13.5" customHeight="1" x14ac:dyDescent="0.2">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spans="1:26" ht="13.5" customHeight="1" x14ac:dyDescent="0.2">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spans="1:26" ht="13.5" customHeight="1" x14ac:dyDescent="0.2">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spans="1:26" ht="13.5" customHeight="1" x14ac:dyDescent="0.2">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spans="1:26" ht="13.5" customHeight="1" x14ac:dyDescent="0.2">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spans="1:26" ht="13.5" customHeight="1" x14ac:dyDescent="0.2">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spans="1:26" ht="13.5" customHeight="1" x14ac:dyDescent="0.2">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spans="1:26" ht="13.5" customHeight="1" x14ac:dyDescent="0.2">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spans="1:26" ht="13.5" customHeight="1" x14ac:dyDescent="0.2">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spans="1:26" ht="13.5" customHeight="1" x14ac:dyDescent="0.2">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spans="1:26" ht="13.5" customHeight="1" x14ac:dyDescent="0.2">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spans="1:26" ht="13.5" customHeight="1" x14ac:dyDescent="0.2">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spans="1:26" ht="13.5" customHeight="1" x14ac:dyDescent="0.2">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spans="1:26" ht="13.5" customHeight="1" x14ac:dyDescent="0.2">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spans="1:26" ht="13.5" customHeight="1" x14ac:dyDescent="0.2">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spans="1:26" ht="13.5" customHeight="1" x14ac:dyDescent="0.2">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spans="1:26" ht="13.5" customHeight="1" x14ac:dyDescent="0.2">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spans="1:26" ht="13.5" customHeight="1" x14ac:dyDescent="0.2">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spans="1:26" ht="13.5" customHeight="1" x14ac:dyDescent="0.2">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spans="1:26" ht="13.5" customHeight="1" x14ac:dyDescent="0.2">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spans="1:26" ht="13.5" customHeight="1" x14ac:dyDescent="0.2">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ht="13.5" customHeight="1" x14ac:dyDescent="0.2">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ht="13.5" customHeight="1" x14ac:dyDescent="0.2">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ht="13.5" customHeight="1" x14ac:dyDescent="0.2">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ht="13.5" customHeight="1" x14ac:dyDescent="0.2">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ht="13.5" customHeight="1" x14ac:dyDescent="0.2">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ht="13.5" customHeight="1" x14ac:dyDescent="0.2">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ht="13.5" customHeight="1" x14ac:dyDescent="0.2">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ht="13.5" customHeight="1" x14ac:dyDescent="0.2">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ht="13.5" customHeight="1" x14ac:dyDescent="0.2">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ht="13.5" customHeight="1" x14ac:dyDescent="0.2">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ht="13.5" customHeight="1" x14ac:dyDescent="0.2">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ht="13.5" customHeight="1" x14ac:dyDescent="0.2">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ht="13.5" customHeight="1" x14ac:dyDescent="0.2">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ht="13.5" customHeight="1" x14ac:dyDescent="0.2">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ht="13.5" customHeight="1" x14ac:dyDescent="0.2">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ht="13.5" customHeight="1" x14ac:dyDescent="0.2">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ht="13.5" customHeight="1" x14ac:dyDescent="0.2">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ht="13.5" customHeight="1" x14ac:dyDescent="0.2">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ht="13.5" customHeight="1" x14ac:dyDescent="0.2">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ht="13.5" customHeight="1" x14ac:dyDescent="0.2">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ht="13.5" customHeight="1" x14ac:dyDescent="0.2">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ht="13.5" customHeight="1" x14ac:dyDescent="0.2">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ht="13.5" customHeight="1" x14ac:dyDescent="0.2">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ht="13.5" customHeight="1" x14ac:dyDescent="0.2">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ht="13.5" customHeight="1" x14ac:dyDescent="0.2">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spans="1:26" ht="13.5" customHeight="1" x14ac:dyDescent="0.2">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spans="1:26" ht="13.5" customHeight="1" x14ac:dyDescent="0.2">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ht="13.5" customHeight="1" x14ac:dyDescent="0.2">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ht="13.5" customHeight="1" x14ac:dyDescent="0.2">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spans="1:26" ht="13.5" customHeight="1" x14ac:dyDescent="0.2">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spans="1:26" ht="13.5" customHeight="1" x14ac:dyDescent="0.2">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spans="1:26" ht="13.5" customHeight="1" x14ac:dyDescent="0.2">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spans="1:26" ht="13.5" customHeight="1" x14ac:dyDescent="0.2">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spans="1:26" ht="13.5" customHeight="1" x14ac:dyDescent="0.2">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spans="1:26" ht="13.5" customHeight="1" x14ac:dyDescent="0.2">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spans="1:26" ht="13.5" customHeight="1" x14ac:dyDescent="0.2">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spans="1:26" ht="13.5" customHeight="1" x14ac:dyDescent="0.2">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spans="1:26" ht="13.5" customHeight="1" x14ac:dyDescent="0.2">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spans="1:26" ht="13.5" customHeight="1" x14ac:dyDescent="0.2">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spans="1:26" ht="13.5" customHeight="1" x14ac:dyDescent="0.2">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spans="1:26" ht="13.5" customHeight="1" x14ac:dyDescent="0.2">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spans="1:26" ht="13.5" customHeight="1" x14ac:dyDescent="0.2">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spans="1:26" ht="13.5" customHeight="1" x14ac:dyDescent="0.2">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3.5" customHeight="1" x14ac:dyDescent="0.2">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3.5" customHeight="1" x14ac:dyDescent="0.2">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3.5" customHeight="1" x14ac:dyDescent="0.2">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3.5" customHeight="1" x14ac:dyDescent="0.2">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3.5" customHeight="1" x14ac:dyDescent="0.2">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3.5" customHeight="1" x14ac:dyDescent="0.2">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3.5" customHeight="1" x14ac:dyDescent="0.2">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3.5" customHeight="1" x14ac:dyDescent="0.2">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3.5" customHeight="1" x14ac:dyDescent="0.2">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3.5" customHeight="1" x14ac:dyDescent="0.2">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3.5" customHeight="1" x14ac:dyDescent="0.2">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3.5" customHeight="1" x14ac:dyDescent="0.2">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3.5" customHeight="1" x14ac:dyDescent="0.2">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3.5" customHeight="1" x14ac:dyDescent="0.2">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3.5" customHeight="1" x14ac:dyDescent="0.2">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3.5" customHeight="1" x14ac:dyDescent="0.2">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3.5" customHeight="1" x14ac:dyDescent="0.2">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3.5" customHeight="1" x14ac:dyDescent="0.2">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3.5" customHeight="1" x14ac:dyDescent="0.2">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3.5" customHeight="1" x14ac:dyDescent="0.2">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3.5" customHeight="1" x14ac:dyDescent="0.2">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3.5" customHeight="1" x14ac:dyDescent="0.2">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3.5" customHeight="1" x14ac:dyDescent="0.2">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3.5" customHeight="1" x14ac:dyDescent="0.2">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3.5" customHeight="1" x14ac:dyDescent="0.2">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3.5" customHeight="1" x14ac:dyDescent="0.2">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3.5" customHeight="1" x14ac:dyDescent="0.2">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3.5" customHeight="1" x14ac:dyDescent="0.2">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3.5" customHeight="1" x14ac:dyDescent="0.2">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3.5" customHeight="1" x14ac:dyDescent="0.2">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3.5" customHeight="1" x14ac:dyDescent="0.2">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3.5" customHeight="1" x14ac:dyDescent="0.2">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3.5" customHeight="1" x14ac:dyDescent="0.2">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3.5" customHeight="1" x14ac:dyDescent="0.2">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3.5" customHeight="1" x14ac:dyDescent="0.2">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3.5" customHeight="1" x14ac:dyDescent="0.2">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3.5" customHeight="1" x14ac:dyDescent="0.2">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3.5" customHeight="1" x14ac:dyDescent="0.2">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3.5" customHeight="1" x14ac:dyDescent="0.2">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3.5" customHeight="1" x14ac:dyDescent="0.2">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3.5" customHeight="1" x14ac:dyDescent="0.2">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3.5" customHeight="1" x14ac:dyDescent="0.2">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3.5" customHeight="1" x14ac:dyDescent="0.2">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3.5" customHeight="1" x14ac:dyDescent="0.2">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3.5" customHeight="1" x14ac:dyDescent="0.2">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3.5" customHeight="1" x14ac:dyDescent="0.2">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3.5" customHeight="1" x14ac:dyDescent="0.2">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3.5" customHeight="1" x14ac:dyDescent="0.2">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3.5" customHeight="1" x14ac:dyDescent="0.2">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3.5" customHeight="1" x14ac:dyDescent="0.2">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3.5" customHeight="1" x14ac:dyDescent="0.2">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3.5" customHeight="1" x14ac:dyDescent="0.2">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3.5" customHeight="1" x14ac:dyDescent="0.2">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3.5" customHeight="1" x14ac:dyDescent="0.2">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3.5" customHeight="1" x14ac:dyDescent="0.2">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3.5" customHeight="1" x14ac:dyDescent="0.2">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3.5" customHeight="1" x14ac:dyDescent="0.2">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3.5" customHeight="1" x14ac:dyDescent="0.2">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3.5" customHeight="1" x14ac:dyDescent="0.2">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3.5" customHeight="1" x14ac:dyDescent="0.2">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3.5" customHeight="1" x14ac:dyDescent="0.2">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3.5" customHeight="1" x14ac:dyDescent="0.2">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3.5" customHeight="1" x14ac:dyDescent="0.2">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3.5" customHeight="1" x14ac:dyDescent="0.2">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3.5" customHeight="1" x14ac:dyDescent="0.2">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3.5" customHeight="1" x14ac:dyDescent="0.2">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3.5" customHeight="1" x14ac:dyDescent="0.2">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3.5" customHeight="1" x14ac:dyDescent="0.2">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3.5" customHeight="1" x14ac:dyDescent="0.2">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3.5" customHeight="1" x14ac:dyDescent="0.2">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3.5" customHeight="1" x14ac:dyDescent="0.2">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3.5" customHeight="1" x14ac:dyDescent="0.2">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3.5" customHeight="1" x14ac:dyDescent="0.2">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3.5" customHeight="1" x14ac:dyDescent="0.2">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3.5" customHeight="1" x14ac:dyDescent="0.2">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3.5" customHeight="1" x14ac:dyDescent="0.2">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3.5" customHeight="1" x14ac:dyDescent="0.2">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3.5" customHeight="1" x14ac:dyDescent="0.2">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3.5" customHeight="1" x14ac:dyDescent="0.2">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3.5" customHeight="1" x14ac:dyDescent="0.2">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3.5" customHeight="1" x14ac:dyDescent="0.2">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3.5" customHeight="1" x14ac:dyDescent="0.2">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3.5" customHeight="1" x14ac:dyDescent="0.2">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3.5" customHeight="1" x14ac:dyDescent="0.2">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3.5" customHeight="1" x14ac:dyDescent="0.2">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3.5" customHeight="1" x14ac:dyDescent="0.2">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3.5" customHeight="1" x14ac:dyDescent="0.2">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3.5" customHeight="1" x14ac:dyDescent="0.2">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3.5" customHeight="1" x14ac:dyDescent="0.2">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3.5" customHeight="1" x14ac:dyDescent="0.2">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3.5" customHeight="1" x14ac:dyDescent="0.2">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3.5" customHeight="1" x14ac:dyDescent="0.2">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3.5" customHeight="1" x14ac:dyDescent="0.2">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3.5" customHeight="1" x14ac:dyDescent="0.2">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3.5" customHeight="1" x14ac:dyDescent="0.2">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3.5" customHeight="1" x14ac:dyDescent="0.2">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3.5" customHeight="1" x14ac:dyDescent="0.2">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3.5" customHeight="1" x14ac:dyDescent="0.2">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3.5" customHeight="1" x14ac:dyDescent="0.2">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3.5" customHeight="1" x14ac:dyDescent="0.2">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3.5" customHeight="1" x14ac:dyDescent="0.2">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3.5" customHeight="1" x14ac:dyDescent="0.2">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3.5" customHeight="1" x14ac:dyDescent="0.2">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3.5" customHeight="1" x14ac:dyDescent="0.2">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3.5" customHeight="1" x14ac:dyDescent="0.2">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3.5" customHeight="1" x14ac:dyDescent="0.2">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3.5" customHeight="1" x14ac:dyDescent="0.2">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3.5" customHeight="1" x14ac:dyDescent="0.2">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3.5" customHeight="1" x14ac:dyDescent="0.2">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3.5" customHeight="1" x14ac:dyDescent="0.2">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3.5" customHeight="1" x14ac:dyDescent="0.2">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3.5" customHeight="1" x14ac:dyDescent="0.2">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3.5" customHeight="1" x14ac:dyDescent="0.2">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3.5" customHeight="1" x14ac:dyDescent="0.2">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3.5" customHeight="1" x14ac:dyDescent="0.2">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3.5" customHeight="1" x14ac:dyDescent="0.2">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3.5" customHeight="1" x14ac:dyDescent="0.2">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3.5" customHeight="1" x14ac:dyDescent="0.2">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3.5" customHeight="1" x14ac:dyDescent="0.2">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3.5" customHeight="1" x14ac:dyDescent="0.2">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3.5" customHeight="1" x14ac:dyDescent="0.2">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3.5" customHeight="1" x14ac:dyDescent="0.2">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3.5" customHeight="1" x14ac:dyDescent="0.2">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3.5" customHeight="1" x14ac:dyDescent="0.2">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3.5" customHeight="1" x14ac:dyDescent="0.2">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3.5" customHeight="1" x14ac:dyDescent="0.2">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3.5" customHeight="1" x14ac:dyDescent="0.2">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3.5" customHeight="1" x14ac:dyDescent="0.2">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3.5" customHeight="1" x14ac:dyDescent="0.2">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3.5" customHeight="1" x14ac:dyDescent="0.2">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3.5" customHeight="1" x14ac:dyDescent="0.2">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3.5" customHeight="1" x14ac:dyDescent="0.2">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3.5" customHeight="1" x14ac:dyDescent="0.2">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3.5" customHeight="1" x14ac:dyDescent="0.2">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3.5" customHeight="1" x14ac:dyDescent="0.2">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3.5" customHeight="1" x14ac:dyDescent="0.2">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3.5" customHeight="1" x14ac:dyDescent="0.2">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3.5" customHeight="1" x14ac:dyDescent="0.2">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3.5" customHeight="1" x14ac:dyDescent="0.2">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3.5" customHeight="1" x14ac:dyDescent="0.2">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3.5" customHeight="1" x14ac:dyDescent="0.2">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3.5" customHeight="1" x14ac:dyDescent="0.2">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3.5" customHeight="1" x14ac:dyDescent="0.2">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3.5" customHeight="1" x14ac:dyDescent="0.2">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3.5" customHeight="1" x14ac:dyDescent="0.2">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3.5" customHeight="1" x14ac:dyDescent="0.2">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3.5" customHeight="1" x14ac:dyDescent="0.2">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3.5" customHeight="1" x14ac:dyDescent="0.2">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3.5" customHeight="1" x14ac:dyDescent="0.2">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3.5" customHeight="1" x14ac:dyDescent="0.2">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3.5" customHeight="1" x14ac:dyDescent="0.2">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3.5" customHeight="1" x14ac:dyDescent="0.2">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3.5" customHeight="1" x14ac:dyDescent="0.2">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3.5" customHeight="1" x14ac:dyDescent="0.2">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3.5" customHeight="1" x14ac:dyDescent="0.2">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3.5" customHeight="1" x14ac:dyDescent="0.2">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3.5" customHeight="1" x14ac:dyDescent="0.2">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3.5" customHeight="1" x14ac:dyDescent="0.2">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3.5" customHeight="1" x14ac:dyDescent="0.2">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3.5" customHeight="1" x14ac:dyDescent="0.2">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3.5" customHeight="1" x14ac:dyDescent="0.2">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3.5" customHeight="1" x14ac:dyDescent="0.2">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3.5" customHeight="1" x14ac:dyDescent="0.2">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3.5" customHeight="1" x14ac:dyDescent="0.2">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3.5" customHeight="1" x14ac:dyDescent="0.2">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3.5" customHeight="1" x14ac:dyDescent="0.2">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3.5" customHeight="1" x14ac:dyDescent="0.2">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3.5" customHeight="1" x14ac:dyDescent="0.2">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3.5" customHeight="1" x14ac:dyDescent="0.2">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3.5" customHeight="1" x14ac:dyDescent="0.2">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3.5" customHeight="1" x14ac:dyDescent="0.2">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3.5" customHeight="1" x14ac:dyDescent="0.2">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3.5" customHeight="1" x14ac:dyDescent="0.2">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3.5" customHeight="1" x14ac:dyDescent="0.2">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3.5" customHeight="1" x14ac:dyDescent="0.2">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3.5" customHeight="1" x14ac:dyDescent="0.2">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3.5" customHeight="1" x14ac:dyDescent="0.2">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3.5" customHeight="1" x14ac:dyDescent="0.2">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3.5" customHeight="1" x14ac:dyDescent="0.2">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3.5" customHeight="1" x14ac:dyDescent="0.2">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3.5" customHeight="1" x14ac:dyDescent="0.2">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3.5" customHeight="1" x14ac:dyDescent="0.2">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3.5" customHeight="1" x14ac:dyDescent="0.2">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3.5" customHeight="1" x14ac:dyDescent="0.2">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3.5" customHeight="1" x14ac:dyDescent="0.2">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3.5" customHeight="1" x14ac:dyDescent="0.2">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3.5" customHeight="1" x14ac:dyDescent="0.2">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3.5" customHeight="1" x14ac:dyDescent="0.2">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3.5" customHeight="1" x14ac:dyDescent="0.2">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3.5" customHeight="1" x14ac:dyDescent="0.2">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3.5" customHeight="1" x14ac:dyDescent="0.2">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3.5" customHeight="1" x14ac:dyDescent="0.2">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3.5" customHeight="1" x14ac:dyDescent="0.2">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3.5" customHeight="1" x14ac:dyDescent="0.2">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3.5" customHeight="1" x14ac:dyDescent="0.2">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3.5" customHeight="1" x14ac:dyDescent="0.2">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3.5" customHeight="1" x14ac:dyDescent="0.2">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3.5" customHeight="1" x14ac:dyDescent="0.2">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3.5" customHeight="1" x14ac:dyDescent="0.2">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3.5" customHeight="1" x14ac:dyDescent="0.2">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3.5" customHeight="1" x14ac:dyDescent="0.2">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3.5" customHeight="1" x14ac:dyDescent="0.2">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3.5" customHeight="1" x14ac:dyDescent="0.2">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3.5" customHeight="1" x14ac:dyDescent="0.2">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3.5" customHeight="1" x14ac:dyDescent="0.2">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3.5" customHeight="1" x14ac:dyDescent="0.2">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3.5" customHeight="1" x14ac:dyDescent="0.2">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3.5" customHeight="1" x14ac:dyDescent="0.2">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3.5" customHeight="1" x14ac:dyDescent="0.2">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3.5" customHeight="1" x14ac:dyDescent="0.2">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3.5" customHeight="1" x14ac:dyDescent="0.2">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3.5" customHeight="1" x14ac:dyDescent="0.2">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3.5" customHeight="1" x14ac:dyDescent="0.2">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3.5" customHeight="1" x14ac:dyDescent="0.2">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3.5" customHeight="1" x14ac:dyDescent="0.2">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3.5" customHeight="1" x14ac:dyDescent="0.2">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3.5" customHeight="1" x14ac:dyDescent="0.2">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3.5" customHeight="1" x14ac:dyDescent="0.2">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3.5" customHeight="1" x14ac:dyDescent="0.2">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3.5" customHeight="1" x14ac:dyDescent="0.2">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3.5" customHeight="1" x14ac:dyDescent="0.2">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3.5" customHeight="1" x14ac:dyDescent="0.2">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3.5" customHeight="1" x14ac:dyDescent="0.2">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3.5" customHeight="1" x14ac:dyDescent="0.2">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3.5" customHeight="1" x14ac:dyDescent="0.2">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3.5" customHeight="1" x14ac:dyDescent="0.2">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3.5" customHeight="1" x14ac:dyDescent="0.2">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3.5" customHeight="1" x14ac:dyDescent="0.2">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3.5" customHeight="1" x14ac:dyDescent="0.2">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3.5" customHeight="1" x14ac:dyDescent="0.2">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3.5" customHeight="1" x14ac:dyDescent="0.2">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3.5" customHeight="1" x14ac:dyDescent="0.2">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3.5" customHeight="1" x14ac:dyDescent="0.2">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3.5" customHeight="1" x14ac:dyDescent="0.2">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3.5" customHeight="1" x14ac:dyDescent="0.2">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3.5" customHeight="1" x14ac:dyDescent="0.2">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3.5" customHeight="1" x14ac:dyDescent="0.2">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3.5" customHeight="1" x14ac:dyDescent="0.2">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3.5" customHeight="1" x14ac:dyDescent="0.2">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3.5" customHeight="1" x14ac:dyDescent="0.2">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3.5" customHeight="1" x14ac:dyDescent="0.2">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3.5" customHeight="1" x14ac:dyDescent="0.2">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3.5" customHeight="1" x14ac:dyDescent="0.2">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3.5" customHeight="1" x14ac:dyDescent="0.2">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3.5" customHeight="1" x14ac:dyDescent="0.2">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3.5" customHeight="1" x14ac:dyDescent="0.2">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3.5" customHeight="1" x14ac:dyDescent="0.2">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3.5" customHeight="1" x14ac:dyDescent="0.2">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3.5" customHeight="1" x14ac:dyDescent="0.2">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3.5" customHeight="1" x14ac:dyDescent="0.2">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3.5" customHeight="1" x14ac:dyDescent="0.2">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3.5" customHeight="1" x14ac:dyDescent="0.2">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3.5" customHeight="1" x14ac:dyDescent="0.2">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3.5" customHeight="1" x14ac:dyDescent="0.2">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3.5" customHeight="1" x14ac:dyDescent="0.2">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3.5" customHeight="1" x14ac:dyDescent="0.2">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3.5" customHeight="1" x14ac:dyDescent="0.2">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3.5" customHeight="1" x14ac:dyDescent="0.2">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3.5" customHeight="1" x14ac:dyDescent="0.2">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3.5" customHeight="1" x14ac:dyDescent="0.2">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3.5" customHeight="1" x14ac:dyDescent="0.2">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3.5" customHeight="1" x14ac:dyDescent="0.2">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3.5" customHeight="1" x14ac:dyDescent="0.2">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3.5" customHeight="1" x14ac:dyDescent="0.2">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3.5" customHeight="1" x14ac:dyDescent="0.2">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3.5" customHeight="1" x14ac:dyDescent="0.2">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3.5" customHeight="1" x14ac:dyDescent="0.2">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3.5" customHeight="1" x14ac:dyDescent="0.2">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3.5" customHeight="1" x14ac:dyDescent="0.2">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3.5" customHeight="1" x14ac:dyDescent="0.2">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3.5" customHeight="1" x14ac:dyDescent="0.2">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3.5" customHeight="1" x14ac:dyDescent="0.2">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3.5" customHeight="1" x14ac:dyDescent="0.2">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3.5" customHeight="1" x14ac:dyDescent="0.2">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3.5" customHeight="1" x14ac:dyDescent="0.2">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3.5" customHeight="1" x14ac:dyDescent="0.2">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3.5" customHeight="1" x14ac:dyDescent="0.2">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3.5" customHeight="1" x14ac:dyDescent="0.2">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3.5" customHeight="1" x14ac:dyDescent="0.2">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3.5" customHeight="1" x14ac:dyDescent="0.2">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3.5" customHeight="1" x14ac:dyDescent="0.2">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3.5" customHeight="1" x14ac:dyDescent="0.2">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3.5" customHeight="1" x14ac:dyDescent="0.2">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3.5" customHeight="1" x14ac:dyDescent="0.2">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3.5" customHeight="1" x14ac:dyDescent="0.2">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3.5" customHeight="1" x14ac:dyDescent="0.2">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3.5" customHeight="1" x14ac:dyDescent="0.2">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3.5" customHeight="1" x14ac:dyDescent="0.2">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3.5" customHeight="1" x14ac:dyDescent="0.2">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3.5" customHeight="1" x14ac:dyDescent="0.2">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3.5" customHeight="1" x14ac:dyDescent="0.2">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3.5" customHeight="1" x14ac:dyDescent="0.2">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3.5" customHeight="1" x14ac:dyDescent="0.2">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3.5" customHeight="1" x14ac:dyDescent="0.2">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3.5" customHeight="1" x14ac:dyDescent="0.2">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3.5" customHeight="1" x14ac:dyDescent="0.2">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3.5" customHeight="1" x14ac:dyDescent="0.2">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3.5" customHeight="1" x14ac:dyDescent="0.2">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3.5" customHeight="1" x14ac:dyDescent="0.2">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3.5" customHeight="1" x14ac:dyDescent="0.2">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3.5" customHeight="1" x14ac:dyDescent="0.2">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3.5" customHeight="1" x14ac:dyDescent="0.2">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3.5" customHeight="1" x14ac:dyDescent="0.2">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3.5" customHeight="1" x14ac:dyDescent="0.2">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3.5" customHeight="1" x14ac:dyDescent="0.2">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3.5" customHeight="1" x14ac:dyDescent="0.2">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3.5" customHeight="1" x14ac:dyDescent="0.2">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3.5" customHeight="1" x14ac:dyDescent="0.2">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3.5" customHeight="1" x14ac:dyDescent="0.2">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3.5" customHeight="1" x14ac:dyDescent="0.2">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3.5" customHeight="1" x14ac:dyDescent="0.2">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3.5" customHeight="1" x14ac:dyDescent="0.2">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3.5" customHeight="1" x14ac:dyDescent="0.2">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3.5" customHeight="1" x14ac:dyDescent="0.2">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3.5" customHeight="1" x14ac:dyDescent="0.2">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3.5" customHeight="1" x14ac:dyDescent="0.2">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3.5" customHeight="1" x14ac:dyDescent="0.2">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3.5" customHeight="1" x14ac:dyDescent="0.2">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3.5" customHeight="1" x14ac:dyDescent="0.2">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3.5" customHeight="1" x14ac:dyDescent="0.2">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3.5" customHeight="1" x14ac:dyDescent="0.2">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3.5" customHeight="1" x14ac:dyDescent="0.2">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3.5" customHeight="1" x14ac:dyDescent="0.2">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3.5" customHeight="1" x14ac:dyDescent="0.2">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3.5" customHeight="1" x14ac:dyDescent="0.2">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3.5" customHeight="1" x14ac:dyDescent="0.2">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3.5" customHeight="1" x14ac:dyDescent="0.2">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3.5" customHeight="1" x14ac:dyDescent="0.2">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3.5" customHeight="1" x14ac:dyDescent="0.2">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3.5" customHeight="1" x14ac:dyDescent="0.2">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3.5" customHeight="1" x14ac:dyDescent="0.2">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3.5" customHeight="1" x14ac:dyDescent="0.2">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3.5" customHeight="1" x14ac:dyDescent="0.2">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3.5" customHeight="1" x14ac:dyDescent="0.2">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3.5" customHeight="1" x14ac:dyDescent="0.2">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3.5" customHeight="1" x14ac:dyDescent="0.2">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3.5" customHeight="1" x14ac:dyDescent="0.2">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3.5" customHeight="1" x14ac:dyDescent="0.2">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3.5" customHeight="1" x14ac:dyDescent="0.2">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3.5" customHeight="1" x14ac:dyDescent="0.2">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3.5" customHeight="1" x14ac:dyDescent="0.2">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3.5" customHeight="1" x14ac:dyDescent="0.2">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3.5" customHeight="1" x14ac:dyDescent="0.2">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3.5" customHeight="1" x14ac:dyDescent="0.2">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3.5" customHeight="1" x14ac:dyDescent="0.2">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3.5" customHeight="1" x14ac:dyDescent="0.2">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3.5" customHeight="1" x14ac:dyDescent="0.2">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3.5" customHeight="1" x14ac:dyDescent="0.2">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3.5" customHeight="1" x14ac:dyDescent="0.2">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3.5" customHeight="1" x14ac:dyDescent="0.2">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3.5" customHeight="1" x14ac:dyDescent="0.2">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3.5" customHeight="1" x14ac:dyDescent="0.2">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3.5" customHeight="1" x14ac:dyDescent="0.2">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3.5" customHeight="1" x14ac:dyDescent="0.2">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3.5" customHeight="1" x14ac:dyDescent="0.2">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3.5" customHeight="1" x14ac:dyDescent="0.2">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3.5" customHeight="1" x14ac:dyDescent="0.2">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3.5" customHeight="1" x14ac:dyDescent="0.2">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3.5" customHeight="1" x14ac:dyDescent="0.2">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3.5" customHeight="1" x14ac:dyDescent="0.2">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3.5" customHeight="1" x14ac:dyDescent="0.2">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3.5" customHeight="1" x14ac:dyDescent="0.2">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3.5" customHeight="1" x14ac:dyDescent="0.2">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3.5" customHeight="1" x14ac:dyDescent="0.2">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3.5" customHeight="1" x14ac:dyDescent="0.2">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3.5" customHeight="1" x14ac:dyDescent="0.2">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3.5" customHeight="1" x14ac:dyDescent="0.2">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3.5" customHeight="1" x14ac:dyDescent="0.2">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3.5" customHeight="1" x14ac:dyDescent="0.2">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3.5" customHeight="1" x14ac:dyDescent="0.2">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3.5" customHeight="1" x14ac:dyDescent="0.2">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3.5" customHeight="1" x14ac:dyDescent="0.2">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3.5" customHeight="1" x14ac:dyDescent="0.2">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3.5" customHeight="1" x14ac:dyDescent="0.2">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3.5" customHeight="1" x14ac:dyDescent="0.2">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3.5" customHeight="1" x14ac:dyDescent="0.2">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3.5" customHeight="1" x14ac:dyDescent="0.2">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3.5" customHeight="1" x14ac:dyDescent="0.2">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3.5" customHeight="1" x14ac:dyDescent="0.2">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3.5" customHeight="1" x14ac:dyDescent="0.2">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3.5" customHeight="1" x14ac:dyDescent="0.2">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3.5" customHeight="1" x14ac:dyDescent="0.2">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3.5" customHeight="1" x14ac:dyDescent="0.2">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3.5" customHeight="1" x14ac:dyDescent="0.2">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3.5" customHeight="1" x14ac:dyDescent="0.2">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3.5" customHeight="1" x14ac:dyDescent="0.2">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3.5" customHeight="1" x14ac:dyDescent="0.2">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3.5" customHeight="1" x14ac:dyDescent="0.2">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3.5" customHeight="1" x14ac:dyDescent="0.2">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3.5" customHeight="1" x14ac:dyDescent="0.2">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3.5" customHeight="1" x14ac:dyDescent="0.2">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3.5" customHeight="1" x14ac:dyDescent="0.2">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3.5" customHeight="1" x14ac:dyDescent="0.2">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3.5" customHeight="1" x14ac:dyDescent="0.2">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3.5" customHeight="1" x14ac:dyDescent="0.2">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3.5" customHeight="1" x14ac:dyDescent="0.2">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3.5" customHeight="1" x14ac:dyDescent="0.2">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3.5" customHeight="1" x14ac:dyDescent="0.2">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3.5" customHeight="1" x14ac:dyDescent="0.2">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3.5" customHeight="1" x14ac:dyDescent="0.2">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3.5" customHeight="1" x14ac:dyDescent="0.2">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3.5" customHeight="1" x14ac:dyDescent="0.2">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3.5" customHeight="1" x14ac:dyDescent="0.2">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3.5" customHeight="1" x14ac:dyDescent="0.2">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3.5" customHeight="1" x14ac:dyDescent="0.2">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3.5" customHeight="1" x14ac:dyDescent="0.2">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3.5" customHeight="1" x14ac:dyDescent="0.2">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3.5" customHeight="1" x14ac:dyDescent="0.2">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3.5" customHeight="1" x14ac:dyDescent="0.2">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3.5" customHeight="1" x14ac:dyDescent="0.2">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3.5" customHeight="1" x14ac:dyDescent="0.2">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3.5" customHeight="1" x14ac:dyDescent="0.2">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3.5" customHeight="1" x14ac:dyDescent="0.2">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3.5" customHeight="1" x14ac:dyDescent="0.2">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3.5" customHeight="1" x14ac:dyDescent="0.2">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3.5" customHeight="1" x14ac:dyDescent="0.2">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3.5" customHeight="1" x14ac:dyDescent="0.2">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3.5" customHeight="1" x14ac:dyDescent="0.2">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3.5" customHeight="1" x14ac:dyDescent="0.2">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3.5" customHeight="1" x14ac:dyDescent="0.2">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3.5" customHeight="1" x14ac:dyDescent="0.2">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3.5" customHeight="1" x14ac:dyDescent="0.2">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3.5" customHeight="1" x14ac:dyDescent="0.2">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3.5" customHeight="1" x14ac:dyDescent="0.2">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3.5" customHeight="1" x14ac:dyDescent="0.2">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3.5" customHeight="1" x14ac:dyDescent="0.2">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3.5" customHeight="1" x14ac:dyDescent="0.2">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3.5" customHeight="1" x14ac:dyDescent="0.2">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3.5" customHeight="1" x14ac:dyDescent="0.2">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3.5" customHeight="1" x14ac:dyDescent="0.2">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3.5" customHeight="1" x14ac:dyDescent="0.2">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3.5" customHeight="1" x14ac:dyDescent="0.2">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3.5" customHeight="1" x14ac:dyDescent="0.2">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3.5" customHeight="1" x14ac:dyDescent="0.2">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3.5" customHeight="1" x14ac:dyDescent="0.2">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3.5" customHeight="1" x14ac:dyDescent="0.2">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3.5" customHeight="1" x14ac:dyDescent="0.2">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3.5" customHeight="1" x14ac:dyDescent="0.2">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3.5" customHeight="1" x14ac:dyDescent="0.2">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3.5" customHeight="1" x14ac:dyDescent="0.2">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3.5" customHeight="1" x14ac:dyDescent="0.2">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3.5" customHeight="1" x14ac:dyDescent="0.2">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3.5" customHeight="1" x14ac:dyDescent="0.2">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3.5" customHeight="1" x14ac:dyDescent="0.2">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3.5" customHeight="1" x14ac:dyDescent="0.2">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3.5" customHeight="1" x14ac:dyDescent="0.2">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3.5" customHeight="1" x14ac:dyDescent="0.2">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3.5" customHeight="1" x14ac:dyDescent="0.2">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3.5" customHeight="1" x14ac:dyDescent="0.2">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3.5" customHeight="1" x14ac:dyDescent="0.2">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3.5" customHeight="1" x14ac:dyDescent="0.2">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3.5" customHeight="1" x14ac:dyDescent="0.2">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3.5" customHeight="1" x14ac:dyDescent="0.2">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3.5" customHeight="1" x14ac:dyDescent="0.2">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3.5" customHeight="1" x14ac:dyDescent="0.2">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3.5" customHeight="1" x14ac:dyDescent="0.2">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3.5" customHeight="1" x14ac:dyDescent="0.2">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3.5" customHeight="1" x14ac:dyDescent="0.2">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3.5" customHeight="1" x14ac:dyDescent="0.2">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3.5" customHeight="1" x14ac:dyDescent="0.2">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3.5" customHeight="1" x14ac:dyDescent="0.2">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3.5" customHeight="1" x14ac:dyDescent="0.2">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3.5" customHeight="1" x14ac:dyDescent="0.2">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3.5" customHeight="1" x14ac:dyDescent="0.2">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3.5" customHeight="1" x14ac:dyDescent="0.2">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3.5" customHeight="1" x14ac:dyDescent="0.2">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3.5" customHeight="1" x14ac:dyDescent="0.2">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3.5" customHeight="1" x14ac:dyDescent="0.2">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3.5" customHeight="1" x14ac:dyDescent="0.2">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3.5" customHeight="1" x14ac:dyDescent="0.2">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3.5" customHeight="1" x14ac:dyDescent="0.2">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3.5" customHeight="1" x14ac:dyDescent="0.2">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3.5" customHeight="1" x14ac:dyDescent="0.2">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3.5" customHeight="1" x14ac:dyDescent="0.2">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3.5" customHeight="1" x14ac:dyDescent="0.2">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3.5" customHeight="1" x14ac:dyDescent="0.2">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3.5" customHeight="1" x14ac:dyDescent="0.2">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3.5" customHeight="1" x14ac:dyDescent="0.2">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3.5" customHeight="1" x14ac:dyDescent="0.2">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3.5" customHeight="1" x14ac:dyDescent="0.2">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3.5" customHeight="1" x14ac:dyDescent="0.2">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3.5" customHeight="1" x14ac:dyDescent="0.2">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3.5" customHeight="1" x14ac:dyDescent="0.2">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3.5" customHeight="1" x14ac:dyDescent="0.2">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3.5" customHeight="1" x14ac:dyDescent="0.2">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3.5" customHeight="1" x14ac:dyDescent="0.2">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3.5" customHeight="1" x14ac:dyDescent="0.2">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3.5" customHeight="1" x14ac:dyDescent="0.2">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3.5" customHeight="1" x14ac:dyDescent="0.2">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3.5" customHeight="1" x14ac:dyDescent="0.2">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3.5" customHeight="1" x14ac:dyDescent="0.2">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3.5" customHeight="1" x14ac:dyDescent="0.2">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3.5" customHeight="1" x14ac:dyDescent="0.2">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3.5" customHeight="1" x14ac:dyDescent="0.2">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3.5" customHeight="1" x14ac:dyDescent="0.2">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3.5" customHeight="1" x14ac:dyDescent="0.2">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3.5" customHeight="1" x14ac:dyDescent="0.2">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3.5" customHeight="1" x14ac:dyDescent="0.2">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3.5" customHeight="1" x14ac:dyDescent="0.2">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3.5" customHeight="1" x14ac:dyDescent="0.2">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3.5" customHeight="1" x14ac:dyDescent="0.2">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3.5" customHeight="1" x14ac:dyDescent="0.2">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3.5" customHeight="1" x14ac:dyDescent="0.2">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3.5" customHeight="1" x14ac:dyDescent="0.2">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3.5" customHeight="1" x14ac:dyDescent="0.2">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3.5" customHeight="1" x14ac:dyDescent="0.2">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3.5" customHeight="1" x14ac:dyDescent="0.2">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3.5" customHeight="1" x14ac:dyDescent="0.2">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3.5" customHeight="1" x14ac:dyDescent="0.2">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3.5" customHeight="1" x14ac:dyDescent="0.2">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3.5" customHeight="1" x14ac:dyDescent="0.2">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3.5" customHeight="1" x14ac:dyDescent="0.2">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3.5" customHeight="1" x14ac:dyDescent="0.2">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3.5" customHeight="1" x14ac:dyDescent="0.2">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3.5" customHeight="1" x14ac:dyDescent="0.2">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3.5" customHeight="1" x14ac:dyDescent="0.2">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3.5" customHeight="1" x14ac:dyDescent="0.2">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3.5" customHeight="1" x14ac:dyDescent="0.2">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3.5" customHeight="1" x14ac:dyDescent="0.2">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3.5" customHeight="1" x14ac:dyDescent="0.2">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3.5" customHeight="1" x14ac:dyDescent="0.2">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3.5" customHeight="1" x14ac:dyDescent="0.2">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3.5" customHeight="1" x14ac:dyDescent="0.2">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3.5" customHeight="1" x14ac:dyDescent="0.2">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3.5" customHeight="1" x14ac:dyDescent="0.2">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3.5" customHeight="1" x14ac:dyDescent="0.2">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3.5" customHeight="1" x14ac:dyDescent="0.2">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3.5" customHeight="1" x14ac:dyDescent="0.2">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3.5" customHeight="1" x14ac:dyDescent="0.2">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3.5" customHeight="1" x14ac:dyDescent="0.2">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3.5" customHeight="1" x14ac:dyDescent="0.2">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3.5" customHeight="1" x14ac:dyDescent="0.2">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3.5" customHeight="1" x14ac:dyDescent="0.2">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3.5" customHeight="1" x14ac:dyDescent="0.2">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3.5" customHeight="1" x14ac:dyDescent="0.2">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3.5" customHeight="1" x14ac:dyDescent="0.2">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3.5" customHeight="1" x14ac:dyDescent="0.2">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3.5" customHeight="1" x14ac:dyDescent="0.2">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3.5" customHeight="1" x14ac:dyDescent="0.2">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3.5" customHeight="1" x14ac:dyDescent="0.2">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3.5" customHeight="1" x14ac:dyDescent="0.2">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3.5" customHeight="1" x14ac:dyDescent="0.2">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3.5" customHeight="1" x14ac:dyDescent="0.2">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3.5" customHeight="1" x14ac:dyDescent="0.2">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3.5" customHeight="1" x14ac:dyDescent="0.2">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3.5" customHeight="1" x14ac:dyDescent="0.2">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3.5" customHeight="1" x14ac:dyDescent="0.2">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3.5" customHeight="1" x14ac:dyDescent="0.2">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3.5" customHeight="1" x14ac:dyDescent="0.2">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3.5" customHeight="1" x14ac:dyDescent="0.2">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3.5" customHeight="1" x14ac:dyDescent="0.2">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3.5" customHeight="1" x14ac:dyDescent="0.2">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3.5" customHeight="1" x14ac:dyDescent="0.2">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3.5" customHeight="1" x14ac:dyDescent="0.2">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3.5" customHeight="1" x14ac:dyDescent="0.2">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3.5" customHeight="1" x14ac:dyDescent="0.2">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3.5" customHeight="1" x14ac:dyDescent="0.2">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3.5" customHeight="1" x14ac:dyDescent="0.2">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3.5" customHeight="1" x14ac:dyDescent="0.2">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3.5" customHeight="1" x14ac:dyDescent="0.2">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3.5" customHeight="1" x14ac:dyDescent="0.2">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3.5" customHeight="1" x14ac:dyDescent="0.2">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3.5" customHeight="1" x14ac:dyDescent="0.2">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3.5" customHeight="1" x14ac:dyDescent="0.2">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3.5" customHeight="1" x14ac:dyDescent="0.2">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3.5" customHeight="1" x14ac:dyDescent="0.2">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3.5" customHeight="1" x14ac:dyDescent="0.2">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3.5" customHeight="1" x14ac:dyDescent="0.2">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3.5" customHeight="1" x14ac:dyDescent="0.2">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3.5" customHeight="1" x14ac:dyDescent="0.2">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3.5" customHeight="1" x14ac:dyDescent="0.2">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3.5" customHeight="1" x14ac:dyDescent="0.2">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3.5" customHeight="1" x14ac:dyDescent="0.2">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3.5" customHeight="1" x14ac:dyDescent="0.2">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3.5" customHeight="1" x14ac:dyDescent="0.2">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3.5" customHeight="1" x14ac:dyDescent="0.2">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3.5" customHeight="1" x14ac:dyDescent="0.2">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3.5" customHeight="1" x14ac:dyDescent="0.2">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3.5" customHeight="1" x14ac:dyDescent="0.2">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3.5" customHeight="1" x14ac:dyDescent="0.2">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3.5" customHeight="1" x14ac:dyDescent="0.2">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3.5" customHeight="1" x14ac:dyDescent="0.2">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3.5" customHeight="1" x14ac:dyDescent="0.2">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3.5" customHeight="1" x14ac:dyDescent="0.2">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3.5" customHeight="1" x14ac:dyDescent="0.2">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3.5" customHeight="1" x14ac:dyDescent="0.2">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3.5" customHeight="1" x14ac:dyDescent="0.2">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3.5" customHeight="1" x14ac:dyDescent="0.2">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3.5" customHeight="1" x14ac:dyDescent="0.2">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3.5" customHeight="1" x14ac:dyDescent="0.2">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3.5" customHeight="1" x14ac:dyDescent="0.2">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3.5" customHeight="1" x14ac:dyDescent="0.2">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3.5" customHeight="1" x14ac:dyDescent="0.2">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3.5" customHeight="1" x14ac:dyDescent="0.2">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3.5" customHeight="1" x14ac:dyDescent="0.2">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3.5" customHeight="1" x14ac:dyDescent="0.2">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3.5" customHeight="1" x14ac:dyDescent="0.2">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3.5" customHeight="1" x14ac:dyDescent="0.2">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3.5" customHeight="1" x14ac:dyDescent="0.2">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3.5" customHeight="1" x14ac:dyDescent="0.2">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3.5" customHeight="1" x14ac:dyDescent="0.2">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3.5" customHeight="1" x14ac:dyDescent="0.2">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3.5" customHeight="1" x14ac:dyDescent="0.2">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3.5" customHeight="1" x14ac:dyDescent="0.2">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3.5" customHeight="1" x14ac:dyDescent="0.2">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3.5" customHeight="1" x14ac:dyDescent="0.2">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3.5" customHeight="1" x14ac:dyDescent="0.2">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3.5" customHeight="1" x14ac:dyDescent="0.2">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3.5" customHeight="1" x14ac:dyDescent="0.2">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3.5" customHeight="1" x14ac:dyDescent="0.2">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3.5" customHeight="1" x14ac:dyDescent="0.2">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3.5" customHeight="1" x14ac:dyDescent="0.2">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3.5" customHeight="1" x14ac:dyDescent="0.2">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3.5" customHeight="1" x14ac:dyDescent="0.2">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3.5" customHeight="1" x14ac:dyDescent="0.2">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3.5" customHeight="1" x14ac:dyDescent="0.2">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3.5" customHeight="1" x14ac:dyDescent="0.2">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3.5" customHeight="1" x14ac:dyDescent="0.2">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3.5" customHeight="1" x14ac:dyDescent="0.2">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3.5" customHeight="1" x14ac:dyDescent="0.2">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3.5" customHeight="1" x14ac:dyDescent="0.2">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3.5" customHeight="1" x14ac:dyDescent="0.2">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3.5" customHeight="1" x14ac:dyDescent="0.2">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3.5" customHeight="1" x14ac:dyDescent="0.2">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3.5" customHeight="1" x14ac:dyDescent="0.2">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3.5" customHeight="1" x14ac:dyDescent="0.2">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3.5" customHeight="1" x14ac:dyDescent="0.2">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3.5" customHeight="1" x14ac:dyDescent="0.2">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3.5" customHeight="1" x14ac:dyDescent="0.2">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3.5" customHeight="1" x14ac:dyDescent="0.2">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3.5" customHeight="1" x14ac:dyDescent="0.2">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3.5" customHeight="1" x14ac:dyDescent="0.2">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3.5" customHeight="1" x14ac:dyDescent="0.2">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3.5" customHeight="1" x14ac:dyDescent="0.2">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3.5" customHeight="1" x14ac:dyDescent="0.2">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3.5" customHeight="1" x14ac:dyDescent="0.2">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3.5" customHeight="1" x14ac:dyDescent="0.2">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3.5" customHeight="1" x14ac:dyDescent="0.2">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3.5" customHeight="1" x14ac:dyDescent="0.2">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3.5" customHeight="1" x14ac:dyDescent="0.2">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3.5" customHeight="1" x14ac:dyDescent="0.2">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3.5" customHeight="1" x14ac:dyDescent="0.2">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3.5" customHeight="1" x14ac:dyDescent="0.2">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3.5" customHeight="1" x14ac:dyDescent="0.2">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3.5" customHeight="1" x14ac:dyDescent="0.2">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3.5" customHeight="1" x14ac:dyDescent="0.2">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3.5" customHeight="1" x14ac:dyDescent="0.2">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3.5" customHeight="1" x14ac:dyDescent="0.2">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3.5" customHeight="1" x14ac:dyDescent="0.2">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3.5" customHeight="1" x14ac:dyDescent="0.2">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3.5" customHeight="1" x14ac:dyDescent="0.2">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3.5" customHeight="1" x14ac:dyDescent="0.2">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3.5" customHeight="1" x14ac:dyDescent="0.2">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3.5" customHeight="1" x14ac:dyDescent="0.2">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3.5" customHeight="1" x14ac:dyDescent="0.2">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3.5" customHeight="1" x14ac:dyDescent="0.2">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3.5" customHeight="1" x14ac:dyDescent="0.2">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3.5" customHeight="1" x14ac:dyDescent="0.2">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3.5" customHeight="1" x14ac:dyDescent="0.2">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3.5" customHeight="1" x14ac:dyDescent="0.2">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3.5" customHeight="1" x14ac:dyDescent="0.2">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3.5" customHeight="1" x14ac:dyDescent="0.2">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3.5" customHeight="1" x14ac:dyDescent="0.2">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3.5" customHeight="1" x14ac:dyDescent="0.2">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3.5" customHeight="1" x14ac:dyDescent="0.2">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3.5" customHeight="1" x14ac:dyDescent="0.2">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3.5" customHeight="1" x14ac:dyDescent="0.2">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3.5" customHeight="1" x14ac:dyDescent="0.2">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3.5" customHeight="1" x14ac:dyDescent="0.2">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3.5" customHeight="1" x14ac:dyDescent="0.2">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3.5" customHeight="1" x14ac:dyDescent="0.2">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3.5" customHeight="1" x14ac:dyDescent="0.2">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3.5" customHeight="1" x14ac:dyDescent="0.2">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3.5" customHeight="1" x14ac:dyDescent="0.2">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3.5" customHeight="1" x14ac:dyDescent="0.2">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3.5" customHeight="1" x14ac:dyDescent="0.2">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3.5" customHeight="1" x14ac:dyDescent="0.2">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3.5" customHeight="1" x14ac:dyDescent="0.2">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3.5" customHeight="1" x14ac:dyDescent="0.2">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3.5" customHeight="1" x14ac:dyDescent="0.2">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3.5" customHeight="1" x14ac:dyDescent="0.2">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3.5" customHeight="1" x14ac:dyDescent="0.2">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3.5" customHeight="1" x14ac:dyDescent="0.2">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3.5" customHeight="1" x14ac:dyDescent="0.2">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3.5" customHeight="1" x14ac:dyDescent="0.2">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3.5" customHeight="1" x14ac:dyDescent="0.2">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3.5" customHeight="1" x14ac:dyDescent="0.2">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3.5" customHeight="1" x14ac:dyDescent="0.2">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3.5" customHeight="1" x14ac:dyDescent="0.2">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3.5" customHeight="1" x14ac:dyDescent="0.2">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3.5" customHeight="1" x14ac:dyDescent="0.2">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3.5" customHeight="1" x14ac:dyDescent="0.2">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3.5" customHeight="1" x14ac:dyDescent="0.2">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3.5" customHeight="1" x14ac:dyDescent="0.2">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3.5" customHeight="1" x14ac:dyDescent="0.2">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3.5" customHeight="1" x14ac:dyDescent="0.2">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3.5" customHeight="1" x14ac:dyDescent="0.2">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3.5" customHeight="1" x14ac:dyDescent="0.2">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3.5" customHeight="1" x14ac:dyDescent="0.2">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3.5" customHeight="1" x14ac:dyDescent="0.2">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3.5" customHeight="1" x14ac:dyDescent="0.2">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3.5" customHeight="1" x14ac:dyDescent="0.2">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3.5" customHeight="1" x14ac:dyDescent="0.2">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3.5" customHeight="1" x14ac:dyDescent="0.2">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3.5" customHeight="1" x14ac:dyDescent="0.2">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3.5" customHeight="1" x14ac:dyDescent="0.2">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3.5" customHeight="1" x14ac:dyDescent="0.2">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3.5" customHeight="1" x14ac:dyDescent="0.2">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3.5" customHeight="1" x14ac:dyDescent="0.2">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3.5" customHeight="1" x14ac:dyDescent="0.2">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3.5" customHeight="1" x14ac:dyDescent="0.2">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3.5" customHeight="1" x14ac:dyDescent="0.2">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3.5" customHeight="1" x14ac:dyDescent="0.2">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3.5" customHeight="1" x14ac:dyDescent="0.2">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3.5" customHeight="1" x14ac:dyDescent="0.2">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3.5" customHeight="1" x14ac:dyDescent="0.2">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3.5" customHeight="1" x14ac:dyDescent="0.2">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3.5" customHeight="1" x14ac:dyDescent="0.2">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3.5" customHeight="1" x14ac:dyDescent="0.2">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3.5" customHeight="1" x14ac:dyDescent="0.2">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3.5" customHeight="1" x14ac:dyDescent="0.2">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3.5" customHeight="1" x14ac:dyDescent="0.2">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3.5" customHeight="1" x14ac:dyDescent="0.2">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3.5" customHeight="1" x14ac:dyDescent="0.2">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3.5" customHeight="1" x14ac:dyDescent="0.2">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3.5" customHeight="1" x14ac:dyDescent="0.2">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3.5" customHeight="1" x14ac:dyDescent="0.2">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3.5" customHeight="1" x14ac:dyDescent="0.2">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3.5" customHeight="1" x14ac:dyDescent="0.2">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3.5" customHeight="1" x14ac:dyDescent="0.2">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3.5" customHeight="1" x14ac:dyDescent="0.2">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3.5" customHeight="1" x14ac:dyDescent="0.2">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3.5" customHeight="1" x14ac:dyDescent="0.2">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3.5" customHeight="1" x14ac:dyDescent="0.2">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3.5" customHeight="1" x14ac:dyDescent="0.2">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3.5" customHeight="1" x14ac:dyDescent="0.2">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3.5" customHeight="1" x14ac:dyDescent="0.2">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3.5" customHeight="1" x14ac:dyDescent="0.2">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3.5" customHeight="1" x14ac:dyDescent="0.2">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3.5" customHeight="1" x14ac:dyDescent="0.2">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3.5" customHeight="1" x14ac:dyDescent="0.2">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3.5" customHeight="1" x14ac:dyDescent="0.2">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3.5" customHeight="1" x14ac:dyDescent="0.2">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3.5" customHeight="1" x14ac:dyDescent="0.2">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3.5" customHeight="1" x14ac:dyDescent="0.2">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3.5" customHeight="1" x14ac:dyDescent="0.2">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3.5" customHeight="1" x14ac:dyDescent="0.2">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3.5" customHeight="1" x14ac:dyDescent="0.2">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3.5" customHeight="1" x14ac:dyDescent="0.2">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3.5" customHeight="1" x14ac:dyDescent="0.2">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3.5" customHeight="1" x14ac:dyDescent="0.2">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3.5" customHeight="1" x14ac:dyDescent="0.2">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3.5" customHeight="1" x14ac:dyDescent="0.2">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spans="1:26" ht="13.5" customHeight="1" x14ac:dyDescent="0.2">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spans="1:26" ht="13.5" customHeight="1" x14ac:dyDescent="0.2">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spans="1:26" ht="13.5" customHeight="1" x14ac:dyDescent="0.2">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spans="1:26" ht="13.5" customHeight="1" x14ac:dyDescent="0.2">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spans="1:26" ht="13.5" customHeight="1" x14ac:dyDescent="0.2">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spans="1:26" ht="13.5" customHeight="1" x14ac:dyDescent="0.2">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spans="1:26" ht="13.5" customHeight="1" x14ac:dyDescent="0.2">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spans="1:26" ht="13.5" customHeight="1" x14ac:dyDescent="0.2">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spans="1:26" ht="13.5" customHeight="1" x14ac:dyDescent="0.2">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spans="1:26" ht="13.5" customHeight="1" x14ac:dyDescent="0.2">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spans="1:26" ht="13.5" customHeight="1" x14ac:dyDescent="0.2">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spans="1:26" ht="13.5" customHeight="1" x14ac:dyDescent="0.2">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spans="1:26" ht="13.5" customHeight="1" x14ac:dyDescent="0.2">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spans="1:26" ht="13.5" customHeight="1" x14ac:dyDescent="0.2">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spans="1:26" ht="13.5" customHeight="1" x14ac:dyDescent="0.2">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spans="1:26" ht="13.5" customHeight="1" x14ac:dyDescent="0.2">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spans="1:26" ht="13.5" customHeight="1" x14ac:dyDescent="0.2">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spans="1:26" ht="13.5" customHeight="1" x14ac:dyDescent="0.2">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spans="1:26" ht="13.5" customHeight="1" x14ac:dyDescent="0.2">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spans="1:26" ht="13.5" customHeight="1" x14ac:dyDescent="0.2">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spans="1:26" ht="13.5" customHeight="1" x14ac:dyDescent="0.2">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spans="1:26" ht="13.5" customHeight="1" x14ac:dyDescent="0.2">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spans="1:26" ht="13.5" customHeight="1" x14ac:dyDescent="0.2">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spans="1:26" ht="13.5" customHeight="1" x14ac:dyDescent="0.2">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980"/>
  <sheetViews>
    <sheetView workbookViewId="0">
      <pane ySplit="1" topLeftCell="A2" activePane="bottomLeft" state="frozen"/>
      <selection pane="bottomLeft" activeCell="C1" sqref="C1"/>
    </sheetView>
  </sheetViews>
  <sheetFormatPr defaultColWidth="12.5703125" defaultRowHeight="15.75" customHeight="1" x14ac:dyDescent="0.2"/>
  <cols>
    <col min="4" max="4" width="114.85546875" customWidth="1"/>
  </cols>
  <sheetData>
    <row r="1" spans="1:26" x14ac:dyDescent="0.2">
      <c r="A1" s="3" t="str">
        <f ca="1">IFERROR(__xludf.DUMMYFUNCTION("IMPORTRANGE(""https://docs.google.com/spreadsheets/d/1Cs-QfEsR4ds08FroyTRdyuL6y1yf6Ghv2Y6cdypc7G4/edit#gid=0"", ""SZN!A:J"")"),"site")</f>
        <v>site</v>
      </c>
      <c r="B1" s="4" t="str">
        <f ca="1">IFERROR(__xludf.DUMMYFUNCTION("""COMPUTED_VALUE"""),"category")</f>
        <v>category</v>
      </c>
      <c r="C1" s="4" t="str">
        <f ca="1">IFERROR(__xludf.DUMMYFUNCTION("""COMPUTED_VALUE"""),"subcategory")</f>
        <v>subcategory</v>
      </c>
      <c r="D1" s="4" t="str">
        <f ca="1">IFERROR(__xludf.DUMMYFUNCTION("""COMPUTED_VALUE"""),"description of the service")</f>
        <v>description of the service</v>
      </c>
      <c r="E1" s="4" t="str">
        <f ca="1">IFERROR(__xludf.DUMMYFUNCTION("""COMPUTED_VALUE"""),"access type")</f>
        <v>access type</v>
      </c>
      <c r="F1" s="4" t="str">
        <f ca="1">IFERROR(__xludf.DUMMYFUNCTION("""COMPUTED_VALUE"""),"status")</f>
        <v>status</v>
      </c>
      <c r="G1" s="4" t="str">
        <f ca="1">IFERROR(__xludf.DUMMYFUNCTION("""COMPUTED_VALUE"""),"contextual information or expertise associated to the service")</f>
        <v>contextual information or expertise associated to the service</v>
      </c>
      <c r="H1" s="4" t="str">
        <f ca="1">IFERROR(__xludf.DUMMYFUNCTION("""COMPUTED_VALUE"""),"keywords of the service")</f>
        <v>keywords of the service</v>
      </c>
      <c r="I1" s="4" t="str">
        <f ca="1">IFERROR(__xludf.DUMMYFUNCTION("""COMPUTED_VALUE"""),"platform name")</f>
        <v>platform name</v>
      </c>
      <c r="J1" s="4" t="str">
        <f ca="1">IFERROR(__xludf.DUMMYFUNCTION("""COMPUTED_VALUE"""),"Note di Giorgio")</f>
        <v>Note di Giorgio</v>
      </c>
      <c r="K1" s="4"/>
      <c r="L1" s="1"/>
      <c r="M1" s="1"/>
      <c r="N1" s="1"/>
      <c r="O1" s="1"/>
      <c r="P1" s="1"/>
      <c r="Q1" s="1"/>
      <c r="R1" s="1"/>
      <c r="S1" s="1"/>
      <c r="T1" s="1"/>
      <c r="U1" s="1"/>
      <c r="V1" s="1"/>
      <c r="W1" s="1"/>
      <c r="X1" s="1"/>
      <c r="Y1" s="1"/>
      <c r="Z1" s="1"/>
    </row>
    <row r="2" spans="1:26" x14ac:dyDescent="0.2">
      <c r="A2" s="5" t="str">
        <f ca="1">IFERROR(__xludf.DUMMYFUNCTION("""COMPUTED_VALUE"""),"SZN")</f>
        <v>SZN</v>
      </c>
      <c r="B2" s="5" t="str">
        <f ca="1">IFERROR(__xludf.DUMMYFUNCTION("""COMPUTED_VALUE"""),"Biological resources")</f>
        <v>Biological resources</v>
      </c>
      <c r="C2" s="5" t="str">
        <f ca="1">IFERROR(__xludf.DUMMYFUNCTION("""COMPUTED_VALUE"""),"Organisms collected in the wild")</f>
        <v>Organisms collected in the wild</v>
      </c>
      <c r="D2" s="5" t="str">
        <f ca="1">IFERROR(__xludf.DUMMYFUNCTION("""COMPUTED_VALUE"""),"Collection and rearing of marine model organisms (ascidians, sea urchin, starfish, sea tutles, etc.) from the Gulf of Napoli")</f>
        <v>Collection and rearing of marine model organisms (ascidians, sea urchin, starfish, sea tutles, etc.) from the Gulf of Napoli</v>
      </c>
      <c r="E2" s="5" t="str">
        <f ca="1">IFERROR(__xludf.DUMMYFUNCTION("""COMPUTED_VALUE"""),"on-site and remote")</f>
        <v>on-site and remote</v>
      </c>
      <c r="F2" s="5" t="str">
        <f ca="1">IFERROR(__xludf.DUMMYFUNCTION("""COMPUTED_VALUE"""),"available")</f>
        <v>available</v>
      </c>
      <c r="G2" s="5"/>
      <c r="H2" s="5"/>
      <c r="I2" s="5" t="str">
        <f ca="1">IFERROR(__xludf.DUMMYFUNCTION("""COMPUTED_VALUE"""),"IRM")</f>
        <v>IRM</v>
      </c>
      <c r="J2" s="5"/>
      <c r="K2" s="5"/>
    </row>
    <row r="3" spans="1:26" x14ac:dyDescent="0.2">
      <c r="A3" s="5" t="str">
        <f ca="1">IFERROR(__xludf.DUMMYFUNCTION("""COMPUTED_VALUE"""),"SZN")</f>
        <v>SZN</v>
      </c>
      <c r="B3" s="5" t="str">
        <f ca="1">IFERROR(__xludf.DUMMYFUNCTION("""COMPUTED_VALUE"""),"Biological resources")</f>
        <v>Biological resources</v>
      </c>
      <c r="C3" s="5" t="str">
        <f ca="1">IFERROR(__xludf.DUMMYFUNCTION("""COMPUTED_VALUE"""),"Taxonomic services")</f>
        <v>Taxonomic services</v>
      </c>
      <c r="D3" s="5" t="str">
        <f ca="1">IFERROR(__xludf.DUMMYFUNCTION("""COMPUTED_VALUE"""),"The Marine Organism Taxonomy (MOTax) Unit is a specialized counseling center which exploits advanced resources, skills and expertise that are available today at the SZN for the taxonomy and identification of various groups of marine organisms providing qu"&amp;"alitative and quantitative analysis of phytoplankton, zooplankton and benthos samples with morphological and molecular characterization")</f>
        <v>The Marine Organism Taxonomy (MOTax) Unit is a specialized counseling center which exploits advanced resources, skills and expertise that are available today at the SZN for the taxonomy and identification of various groups of marine organisms providing qualitative and quantitative analysis of phytoplankton, zooplankton and benthos samples with morphological and molecular characterization</v>
      </c>
      <c r="E3" s="5" t="str">
        <f ca="1">IFERROR(__xludf.DUMMYFUNCTION("""COMPUTED_VALUE"""),"on-site and remote")</f>
        <v>on-site and remote</v>
      </c>
      <c r="F3" s="5" t="str">
        <f ca="1">IFERROR(__xludf.DUMMYFUNCTION("""COMPUTED_VALUE"""),"available")</f>
        <v>available</v>
      </c>
      <c r="G3" s="5" t="str">
        <f ca="1">IFERROR(__xludf.DUMMYFUNCTION("""COMPUTED_VALUE"""),"Sorting, identification and isolation of phytoplankton, zooplankton, benthos from natural samples in collaboration with IRM. Isolation of single cells for the cultivation of microalgal strains. Organisms barcoding is available in collaboration with CSAM")</f>
        <v>Sorting, identification and isolation of phytoplankton, zooplankton, benthos from natural samples in collaboration with IRM. Isolation of single cells for the cultivation of microalgal strains. Organisms barcoding is available in collaboration with CSAM</v>
      </c>
      <c r="H3" s="5" t="str">
        <f ca="1">IFERROR(__xludf.DUMMYFUNCTION("""COMPUTED_VALUE"""),"environmental monitoring, certified marine organisms, integrated taxonomy, vouchers, barcoding")</f>
        <v>environmental monitoring, certified marine organisms, integrated taxonomy, vouchers, barcoding</v>
      </c>
      <c r="I3" s="5" t="str">
        <f ca="1">IFERROR(__xludf.DUMMYFUNCTION("""COMPUTED_VALUE"""),"MOTax")</f>
        <v>MOTax</v>
      </c>
      <c r="J3" s="5"/>
      <c r="K3" s="5"/>
    </row>
    <row r="4" spans="1:26" x14ac:dyDescent="0.2">
      <c r="A4" s="5" t="str">
        <f ca="1">IFERROR(__xludf.DUMMYFUNCTION("""COMPUTED_VALUE"""),"SZN")</f>
        <v>SZN</v>
      </c>
      <c r="B4" s="5" t="str">
        <f ca="1">IFERROR(__xludf.DUMMYFUNCTION("""COMPUTED_VALUE"""),"Ecosystem access")</f>
        <v>Ecosystem access</v>
      </c>
      <c r="C4" s="5" t="str">
        <f ca="1">IFERROR(__xludf.DUMMYFUNCTION("""COMPUTED_VALUE"""),"Coastal research vessels")</f>
        <v>Coastal research vessels</v>
      </c>
      <c r="D4" s="5" t="str">
        <f ca="1">IFERROR(__xludf.DUMMYFUNCTION("""COMPUTED_VALUE"""),"Access to Coastal research vessels (M/B Phoenicia 10m; Oceanographic Boat ""Vettoria"" 15m) in the Gulf of Napoli; on request collection of planktonic organisms through screenings or samples from Niskin bottles, of benthic organisms with dredging, coring,"&amp;" grab or scuba diving and acquisition of images and films in immersion are available.")</f>
        <v>Access to Coastal research vessels (M/B Phoenicia 10m; Oceanographic Boat "Vettoria" 15m) in the Gulf of Napoli; on request collection of planktonic organisms through screenings or samples from Niskin bottles, of benthic organisms with dredging, coring, grab or scuba diving and acquisition of images and films in immersion are available.</v>
      </c>
      <c r="E4" s="5" t="str">
        <f ca="1">IFERROR(__xludf.DUMMYFUNCTION("""COMPUTED_VALUE"""),"on-site")</f>
        <v>on-site</v>
      </c>
      <c r="F4" s="5" t="str">
        <f ca="1">IFERROR(__xludf.DUMMYFUNCTION("""COMPUTED_VALUE"""),"available")</f>
        <v>available</v>
      </c>
      <c r="G4" s="5" t="str">
        <f ca="1">IFERROR(__xludf.DUMMYFUNCTION("""COMPUTED_VALUE"""),"Availability of two boats: one pilot boat for small operatioins, and one vessel complete with crew and equipment for sampling activities, Collection of planktonic organisms through screenings or samples from Niskin bottles. Collection of benthic organisms"&amp;" with dredging, coring, grab or scuba diving. Acquisition of images and films in immersion is available on request.")</f>
        <v>Availability of two boats: one pilot boat for small operatioins, and one vessel complete with crew and equipment for sampling activities, Collection of planktonic organisms through screenings or samples from Niskin bottles. Collection of benthic organisms with dredging, coring, grab or scuba diving. Acquisition of images and films in immersion is available on request.</v>
      </c>
      <c r="H4" s="5" t="str">
        <f ca="1">IFERROR(__xludf.DUMMYFUNCTION("""COMPUTED_VALUE"""),"vessel, CO2, monitoring, CTD, multi-parameter probe, ADCP, Scuba diving; CO2; vessel; coastal sampling; boat")</f>
        <v>vessel, CO2, monitoring, CTD, multi-parameter probe, ADCP, Scuba diving; CO2; vessel; coastal sampling; boat</v>
      </c>
      <c r="I4" s="5" t="str">
        <f ca="1">IFERROR(__xludf.DUMMYFUNCTION("""COMPUTED_VALUE"""),"IRM")</f>
        <v>IRM</v>
      </c>
      <c r="J4" s="5"/>
      <c r="K4" s="5"/>
    </row>
    <row r="5" spans="1:26" x14ac:dyDescent="0.2">
      <c r="A5" s="5" t="str">
        <f ca="1">IFERROR(__xludf.DUMMYFUNCTION("""COMPUTED_VALUE"""),"SZN")</f>
        <v>SZN</v>
      </c>
      <c r="B5" s="5" t="str">
        <f ca="1">IFERROR(__xludf.DUMMYFUNCTION("""COMPUTED_VALUE"""),"E-services")</f>
        <v>E-services</v>
      </c>
      <c r="C5" s="5" t="str">
        <f ca="1">IFERROR(__xludf.DUMMYFUNCTION("""COMPUTED_VALUE"""),"Data sets")</f>
        <v>Data sets</v>
      </c>
      <c r="D5" s="5" t="str">
        <f ca="1">IFERROR(__xludf.DUMMYFUNCTION("""COMPUTED_VALUE"""),"Access to LTER data: high CO2 low pH site, long-term monitoring from LTER MareChiara")</f>
        <v>Access to LTER data: high CO2 low pH site, long-term monitoring from LTER MareChiara</v>
      </c>
      <c r="E5" s="5" t="str">
        <f ca="1">IFERROR(__xludf.DUMMYFUNCTION("""COMPUTED_VALUE"""),"on-site and remote")</f>
        <v>on-site and remote</v>
      </c>
      <c r="F5" s="5" t="str">
        <f ca="1">IFERROR(__xludf.DUMMYFUNCTION("""COMPUTED_VALUE"""),"not available")</f>
        <v>not available</v>
      </c>
      <c r="G5" s="5" t="str">
        <f ca="1">IFERROR(__xludf.DUMMYFUNCTION("""COMPUTED_VALUE"""),"Access to data is strictly regulated and evaluated case-by-case")</f>
        <v>Access to data is strictly regulated and evaluated case-by-case</v>
      </c>
      <c r="H5" s="5" t="str">
        <f ca="1">IFERROR(__xludf.DUMMYFUNCTION("""COMPUTED_VALUE"""),"Database design,  Software Development; Genomic browser, Blast Server setup, LTER")</f>
        <v>Database design,  Software Development; Genomic browser, Blast Server setup, LTER</v>
      </c>
      <c r="I5" s="5"/>
      <c r="J5" s="5"/>
      <c r="K5" s="5"/>
    </row>
    <row r="6" spans="1:26" x14ac:dyDescent="0.2">
      <c r="A6" s="5" t="str">
        <f ca="1">IFERROR(__xludf.DUMMYFUNCTION("""COMPUTED_VALUE"""),"SZN")</f>
        <v>SZN</v>
      </c>
      <c r="B6" s="5" t="str">
        <f ca="1">IFERROR(__xludf.DUMMYFUNCTION("""COMPUTED_VALUE"""),"Experimental facilities")</f>
        <v>Experimental facilities</v>
      </c>
      <c r="C6" s="5" t="str">
        <f ca="1">IFERROR(__xludf.DUMMYFUNCTION("""COMPUTED_VALUE"""),"Wet laboratories")</f>
        <v>Wet laboratories</v>
      </c>
      <c r="D6" s="5" t="str">
        <f ca="1">IFERROR(__xludf.DUMMYFUNCTION("""COMPUTED_VALUE"""),"Medical treatment of wounded sea turtles (Caretta caretta); veterinary research, post-mortem examination, nesting at the Marine Turtles Research Centre Portici")</f>
        <v>Medical treatment of wounded sea turtles (Caretta caretta); veterinary research, post-mortem examination, nesting at the Marine Turtles Research Centre Portici</v>
      </c>
      <c r="E6" s="5" t="str">
        <f ca="1">IFERROR(__xludf.DUMMYFUNCTION("""COMPUTED_VALUE"""),"on-site")</f>
        <v>on-site</v>
      </c>
      <c r="F6" s="5" t="str">
        <f ca="1">IFERROR(__xludf.DUMMYFUNCTION("""COMPUTED_VALUE"""),"available")</f>
        <v>available</v>
      </c>
      <c r="G6" s="5" t="str">
        <f ca="1">IFERROR(__xludf.DUMMYFUNCTION("""COMPUTED_VALUE"""),"The turtles are maintained in a semi-closed loop seawater circulation system. The service depends on animals availability.")</f>
        <v>The turtles are maintained in a semi-closed loop seawater circulation system. The service depends on animals availability.</v>
      </c>
      <c r="H6" s="5" t="str">
        <f ca="1">IFERROR(__xludf.DUMMYFUNCTION("""COMPUTED_VALUE"""),"Caretta caretta, blood tissue; loggerhead turtles; vertebrates; marine reptile")</f>
        <v>Caretta caretta, blood tissue; loggerhead turtles; vertebrates; marine reptile</v>
      </c>
      <c r="I6" s="5" t="str">
        <f ca="1">IFERROR(__xludf.DUMMYFUNCTION("""COMPUTED_VALUE"""),"Turtle Point")</f>
        <v>Turtle Point</v>
      </c>
      <c r="J6" s="5"/>
      <c r="K6" s="5"/>
    </row>
    <row r="7" spans="1:26" x14ac:dyDescent="0.2">
      <c r="A7" s="5" t="str">
        <f ca="1">IFERROR(__xludf.DUMMYFUNCTION("""COMPUTED_VALUE"""),"SZN")</f>
        <v>SZN</v>
      </c>
      <c r="B7" s="5" t="str">
        <f ca="1">IFERROR(__xludf.DUMMYFUNCTION("""COMPUTED_VALUE"""),"Technology platforms")</f>
        <v>Technology platforms</v>
      </c>
      <c r="C7" s="5" t="str">
        <f ca="1">IFERROR(__xludf.DUMMYFUNCTION("""COMPUTED_VALUE"""),"Bioassays")</f>
        <v>Bioassays</v>
      </c>
      <c r="D7" s="5" t="str">
        <f ca="1">IFERROR(__xludf.DUMMYFUNCTION("""COMPUTED_VALUE"""),"Access to the screening platform for the bioactive compounds isolation (antimicrobials, anticancers, antibiofilms)")</f>
        <v>Access to the screening platform for the bioactive compounds isolation (antimicrobials, anticancers, antibiofilms)</v>
      </c>
      <c r="E7" s="5" t="str">
        <f ca="1">IFERROR(__xludf.DUMMYFUNCTION("""COMPUTED_VALUE"""),"on-site and remote")</f>
        <v>on-site and remote</v>
      </c>
      <c r="F7" s="5" t="str">
        <f ca="1">IFERROR(__xludf.DUMMYFUNCTION("""COMPUTED_VALUE"""),"available")</f>
        <v>available</v>
      </c>
      <c r="G7" s="5" t="str">
        <f ca="1">IFERROR(__xludf.DUMMYFUNCTION("""COMPUTED_VALUE"""),"Contextual isolation and cultivation of algal strains for screening and basic molecular biology equipments are available on request")</f>
        <v>Contextual isolation and cultivation of algal strains for screening and basic molecular biology equipments are available on request</v>
      </c>
      <c r="H7" s="5"/>
      <c r="I7" s="5" t="str">
        <f ca="1">IFERROR(__xludf.DUMMYFUNCTION("""COMPUTED_VALUE"""),"BlueBioprospecting")</f>
        <v>BlueBioprospecting</v>
      </c>
      <c r="J7" s="5"/>
      <c r="K7" s="5"/>
    </row>
    <row r="8" spans="1:26" x14ac:dyDescent="0.2">
      <c r="A8" s="5" t="str">
        <f ca="1">IFERROR(__xludf.DUMMYFUNCTION("""COMPUTED_VALUE"""),"SZN")</f>
        <v>SZN</v>
      </c>
      <c r="B8" s="5" t="str">
        <f ca="1">IFERROR(__xludf.DUMMYFUNCTION("""COMPUTED_VALUE"""),"Technology platforms")</f>
        <v>Technology platforms</v>
      </c>
      <c r="C8" s="5" t="str">
        <f ca="1">IFERROR(__xludf.DUMMYFUNCTION("""COMPUTED_VALUE"""),"Imaging")</f>
        <v>Imaging</v>
      </c>
      <c r="D8" s="5" t="str">
        <f ca="1">IFERROR(__xludf.DUMMYFUNCTION("""COMPUTED_VALUE"""),"The Advanced Microscopy Centre (AMC) provides the necessary skills to the application of optical microscopy and conventional fluorescence techniques (epifluorescence or confocal). ")</f>
        <v xml:space="preserve">The Advanced Microscopy Centre (AMC) provides the necessary skills to the application of optical microscopy and conventional fluorescence techniques (epifluorescence or confocal). </v>
      </c>
      <c r="E8" s="5" t="str">
        <f ca="1">IFERROR(__xludf.DUMMYFUNCTION("""COMPUTED_VALUE"""),"on-site and remote")</f>
        <v>on-site and remote</v>
      </c>
      <c r="F8" s="5" t="str">
        <f ca="1">IFERROR(__xludf.DUMMYFUNCTION("""COMPUTED_VALUE"""),"available")</f>
        <v>available</v>
      </c>
      <c r="G8" s="5" t="str">
        <f ca="1">IFERROR(__xludf.DUMMYFUNCTION("""COMPUTED_VALUE"""),"Assistance and sample preparation for optical, electron microscopy, live cell imaging, confocal microscopy, 3D and 4D microscopy, TEM and SEM. Ad hoc protocol development and data analyses and interpretation is available on request")</f>
        <v>Assistance and sample preparation for optical, electron microscopy, live cell imaging, confocal microscopy, 3D and 4D microscopy, TEM and SEM. Ad hoc protocol development and data analyses and interpretation is available on request</v>
      </c>
      <c r="H8" s="5" t="str">
        <f ca="1">IFERROR(__xludf.DUMMYFUNCTION("""COMPUTED_VALUE"""),"Transmission Electron Microscopy, Scanning Electron Microscopy, Wide-field and Confocal Microscopy")</f>
        <v>Transmission Electron Microscopy, Scanning Electron Microscopy, Wide-field and Confocal Microscopy</v>
      </c>
      <c r="I8" s="5" t="str">
        <f ca="1">IFERROR(__xludf.DUMMYFUNCTION("""COMPUTED_VALUE"""),"AMC")</f>
        <v>AMC</v>
      </c>
      <c r="J8" s="5"/>
      <c r="K8" s="5"/>
    </row>
    <row r="9" spans="1:26" x14ac:dyDescent="0.2">
      <c r="A9" s="5" t="str">
        <f ca="1">IFERROR(__xludf.DUMMYFUNCTION("""COMPUTED_VALUE"""),"SZN")</f>
        <v>SZN</v>
      </c>
      <c r="B9" s="5" t="str">
        <f ca="1">IFERROR(__xludf.DUMMYFUNCTION("""COMPUTED_VALUE"""),"Technology platforms")</f>
        <v>Technology platforms</v>
      </c>
      <c r="C9" s="5" t="str">
        <f ca="1">IFERROR(__xludf.DUMMYFUNCTION("""COMPUTED_VALUE"""),"Molecular biology and omics")</f>
        <v>Molecular biology and omics</v>
      </c>
      <c r="D9" s="5" t="str">
        <f ca="1">IFERROR(__xludf.DUMMYFUNCTION("""COMPUTED_VALUE"""),"The Molecular Sequencing &amp; Analysis Center (SMAC) offers services, training and consulting in the field of Molecular Biology, from the execution of complex procedures to specific consultancy and development services and on-demand protocols.")</f>
        <v>The Molecular Sequencing &amp; Analysis Center (SMAC) offers services, training and consulting in the field of Molecular Biology, from the execution of complex procedures to specific consultancy and development services and on-demand protocols.</v>
      </c>
      <c r="E9" s="5" t="str">
        <f ca="1">IFERROR(__xludf.DUMMYFUNCTION("""COMPUTED_VALUE"""),"on-site and remote")</f>
        <v>on-site and remote</v>
      </c>
      <c r="F9" s="5" t="str">
        <f ca="1">IFERROR(__xludf.DUMMYFUNCTION("""COMPUTED_VALUE"""),"available")</f>
        <v>available</v>
      </c>
      <c r="G9" s="5" t="str">
        <f ca="1">IFERROR(__xludf.DUMMYFUNCTION("""COMPUTED_VALUE"""),"The Unit has developed a sequencing service which includes both the classic Sanger method that the Ion deep sequencing technology GeneStudio S5, a service for the Real Time PCR and a service for the droplet digital PCR that will be improved by the purchas"&amp;"e of the sonicator ""Covaris"" for Chromatin immunoprecipitation experiments"". The unit is also equipped with aCSAM2 automated liquid handler for low to mid throughput processes the unit also integrates the cytometry service with the setting up of a new "&amp;"laboratory equipped with BD equipment, the sorter ""Influx"" and 37 the ""FACS Verse"" cytometer extending the portfolio of offered technologies to users.Ad hoc protocol development and data analyses and interpretation is available on request. ")</f>
        <v xml:space="preserve">The Unit has developed a sequencing service which includes both the classic Sanger method that the Ion deep sequencing technology GeneStudio S5, a service for the Real Time PCR and a service for the droplet digital PCR that will be improved by the purchase of the sonicator "Covaris" for Chromatin immunoprecipitation experiments". The unit is also equipped with aCSAM2 automated liquid handler for low to mid throughput processes the unit also integrates the cytometry service with the setting up of a new laboratory equipped with BD equipment, the sorter "Influx" and 37 the "FACS Verse" cytometer extending the portfolio of offered technologies to users.Ad hoc protocol development and data analyses and interpretation is available on request. </v>
      </c>
      <c r="H9" s="5" t="str">
        <f ca="1">IFERROR(__xludf.DUMMYFUNCTION("""COMPUTED_VALUE"""),"Sanger sequencing, NGS, microsatellite, SNPs, Real Time PCR")</f>
        <v>Sanger sequencing, NGS, microsatellite, SNPs, Real Time PCR</v>
      </c>
      <c r="I9" s="5" t="str">
        <f ca="1">IFERROR(__xludf.DUMMYFUNCTION("""COMPUTED_VALUE"""),"CSAM")</f>
        <v>CSAM</v>
      </c>
      <c r="J9" s="5"/>
      <c r="K9" s="5"/>
    </row>
    <row r="10" spans="1:26" x14ac:dyDescent="0.2">
      <c r="A10" s="5" t="str">
        <f ca="1">IFERROR(__xludf.DUMMYFUNCTION("""COMPUTED_VALUE"""),"SZN")</f>
        <v>SZN</v>
      </c>
      <c r="B10" s="5" t="str">
        <f ca="1">IFERROR(__xludf.DUMMYFUNCTION("""COMPUTED_VALUE"""),"Technology platforms")</f>
        <v>Technology platforms</v>
      </c>
      <c r="C10" s="5" t="str">
        <f ca="1">IFERROR(__xludf.DUMMYFUNCTION("""COMPUTED_VALUE"""),"Structural and chemical analysis")</f>
        <v>Structural and chemical analysis</v>
      </c>
      <c r="D10" s="5" t="str">
        <f ca="1">IFERROR(__xludf.DUMMYFUNCTION("""COMPUTED_VALUE"""),"Access to mass spectrometry facilitiy for early-stage molecule dereplication")</f>
        <v>Access to mass spectrometry facilitiy for early-stage molecule dereplication</v>
      </c>
      <c r="E10" s="5" t="str">
        <f ca="1">IFERROR(__xludf.DUMMYFUNCTION("""COMPUTED_VALUE"""),"on-site and remote")</f>
        <v>on-site and remote</v>
      </c>
      <c r="F10" s="5" t="str">
        <f ca="1">IFERROR(__xludf.DUMMYFUNCTION("""COMPUTED_VALUE"""),"available")</f>
        <v>available</v>
      </c>
      <c r="G10" s="5"/>
      <c r="H10" s="5"/>
      <c r="I10" s="5" t="str">
        <f ca="1">IFERROR(__xludf.DUMMYFUNCTION("""COMPUTED_VALUE"""),"BlueBioprospecting")</f>
        <v>BlueBioprospecting</v>
      </c>
      <c r="J10" s="5"/>
      <c r="K10" s="5"/>
    </row>
    <row r="11" spans="1:26" x14ac:dyDescent="0.2">
      <c r="A11" s="5" t="str">
        <f ca="1">IFERROR(__xludf.DUMMYFUNCTION("""COMPUTED_VALUE"""),"SZN")</f>
        <v>SZN</v>
      </c>
      <c r="B11" s="5" t="str">
        <f ca="1">IFERROR(__xludf.DUMMYFUNCTION("""COMPUTED_VALUE"""),"Technology platforms")</f>
        <v>Technology platforms</v>
      </c>
      <c r="C11" s="5" t="str">
        <f ca="1">IFERROR(__xludf.DUMMYFUNCTION("""COMPUTED_VALUE"""),"Remote sensing and telemetry")</f>
        <v>Remote sensing and telemetry</v>
      </c>
      <c r="D11" s="5" t="str">
        <f ca="1">IFERROR(__xludf.DUMMYFUNCTION("""COMPUTED_VALUE"""),"The Core facility for Environmental Monitoring &amp; Analysis (MAA) offers support for sampling and laboratory activities aimed at determining the main environmental variables")</f>
        <v>The Core facility for Environmental Monitoring &amp; Analysis (MAA) offers support for sampling and laboratory activities aimed at determining the main environmental variables</v>
      </c>
      <c r="E11" s="5" t="str">
        <f ca="1">IFERROR(__xludf.DUMMYFUNCTION("""COMPUTED_VALUE"""),"on-site")</f>
        <v>on-site</v>
      </c>
      <c r="F11" s="5" t="str">
        <f ca="1">IFERROR(__xludf.DUMMYFUNCTION("""COMPUTED_VALUE"""),"available")</f>
        <v>available</v>
      </c>
      <c r="G11" s="5" t="str">
        <f ca="1">IFERROR(__xludf.DUMMYFUNCTION("""COMPUTED_VALUE"""),"Continuous acquisition, processing and analysis of the main hydrographic variables (temperature, salinity, dissolved oxygen, fluorescence, transmittance, PAR, SPAR and pH) along the water column. Measurements of surface current and along the water column;"&amp;" contingent collection and selection on request of target marine organisms. Ad hoc protocol development and data analyses and interpretation is available on request.")</f>
        <v>Continuous acquisition, processing and analysis of the main hydrographic variables (temperature, salinity, dissolved oxygen, fluorescence, transmittance, PAR, SPAR and pH) along the water column. Measurements of surface current and along the water column; contingent collection and selection on request of target marine organisms. Ad hoc protocol development and data analyses and interpretation is available on request.</v>
      </c>
      <c r="H11" s="5" t="str">
        <f ca="1">IFERROR(__xludf.DUMMYFUNCTION("""COMPUTED_VALUE"""),"vessel, CO2, monitoring, CTD, multi-parameter probe, ADCP")</f>
        <v>vessel, CO2, monitoring, CTD, multi-parameter probe, ADCP</v>
      </c>
      <c r="I11" s="5" t="str">
        <f ca="1">IFERROR(__xludf.DUMMYFUNCTION("""COMPUTED_VALUE"""),"MAA")</f>
        <v>MAA</v>
      </c>
      <c r="J11" s="5"/>
      <c r="K11" s="5"/>
    </row>
    <row r="12" spans="1:26" x14ac:dyDescent="0.2">
      <c r="A12" s="5" t="str">
        <f ca="1">IFERROR(__xludf.DUMMYFUNCTION("""COMPUTED_VALUE"""),"SZN")</f>
        <v>SZN</v>
      </c>
      <c r="B12" s="5" t="str">
        <f ca="1">IFERROR(__xludf.DUMMYFUNCTION("""COMPUTED_VALUE"""),"E-services")</f>
        <v>E-services</v>
      </c>
      <c r="C12" s="5" t="str">
        <f ca="1">IFERROR(__xludf.DUMMYFUNCTION("""COMPUTED_VALUE"""),"Data analysis tools and software")</f>
        <v>Data analysis tools and software</v>
      </c>
      <c r="D12" s="5" t="str">
        <f ca="1">IFERROR(__xludf.DUMMYFUNCTION("""COMPUTED_VALUE"""),"Access to The High Performance Computing and Bioinformatics platform, implementing bioninformatic dedicated services and training. Service offered are aimed to testing and offering dedicated strategies and resources, databases, scientific computational pl"&amp;"atforms for marine genomics.")</f>
        <v>Access to The High Performance Computing and Bioinformatics platform, implementing bioninformatic dedicated services and training. Service offered are aimed to testing and offering dedicated strategies and resources, databases, scientific computational platforms for marine genomics.</v>
      </c>
      <c r="E12" s="5" t="str">
        <f ca="1">IFERROR(__xludf.DUMMYFUNCTION("""COMPUTED_VALUE"""),"on-site and remote")</f>
        <v>on-site and remote</v>
      </c>
      <c r="F12" s="5" t="str">
        <f ca="1">IFERROR(__xludf.DUMMYFUNCTION("""COMPUTED_VALUE"""),"available")</f>
        <v>available</v>
      </c>
      <c r="G12" s="5"/>
      <c r="H12" s="5"/>
      <c r="I12" s="5" t="str">
        <f ca="1">IFERROR(__xludf.DUMMYFUNCTION("""COMPUTED_VALUE"""),"BAC")</f>
        <v>BAC</v>
      </c>
      <c r="J12" s="5"/>
      <c r="K12" s="5"/>
    </row>
    <row r="13" spans="1:26" x14ac:dyDescent="0.2">
      <c r="A13" s="5"/>
      <c r="B13" s="5"/>
      <c r="C13" s="5"/>
      <c r="D13" s="5"/>
      <c r="E13" s="5"/>
      <c r="F13" s="5"/>
      <c r="G13" s="5"/>
      <c r="H13" s="5"/>
      <c r="I13" s="5"/>
      <c r="J13" s="5"/>
      <c r="K13" s="5"/>
    </row>
    <row r="14" spans="1:26" x14ac:dyDescent="0.2">
      <c r="A14" s="5"/>
      <c r="B14" s="5"/>
      <c r="C14" s="5"/>
      <c r="D14" s="5"/>
      <c r="E14" s="5"/>
      <c r="F14" s="5"/>
      <c r="G14" s="5"/>
      <c r="H14" s="5"/>
      <c r="I14" s="5"/>
      <c r="J14" s="5"/>
      <c r="K14" s="5"/>
    </row>
    <row r="15" spans="1:26" x14ac:dyDescent="0.2">
      <c r="A15" s="5"/>
      <c r="B15" s="5"/>
      <c r="C15" s="5"/>
      <c r="D15" s="5"/>
      <c r="E15" s="5"/>
      <c r="F15" s="5"/>
      <c r="G15" s="5"/>
      <c r="H15" s="5"/>
      <c r="I15" s="5"/>
      <c r="J15" s="5"/>
      <c r="K15" s="5"/>
    </row>
    <row r="16" spans="1:26" x14ac:dyDescent="0.2">
      <c r="A16" s="5"/>
      <c r="B16" s="5"/>
      <c r="C16" s="5"/>
      <c r="D16" s="5"/>
      <c r="E16" s="5"/>
      <c r="F16" s="5"/>
      <c r="G16" s="5"/>
      <c r="H16" s="5"/>
      <c r="I16" s="5"/>
      <c r="J16" s="5"/>
      <c r="K16" s="5"/>
    </row>
    <row r="17" spans="1:11" x14ac:dyDescent="0.2">
      <c r="A17" s="5"/>
      <c r="B17" s="5"/>
      <c r="C17" s="5"/>
      <c r="D17" s="5"/>
      <c r="E17" s="5"/>
      <c r="F17" s="5"/>
      <c r="G17" s="5"/>
      <c r="H17" s="5"/>
      <c r="I17" s="5"/>
      <c r="J17" s="5"/>
      <c r="K17" s="5"/>
    </row>
    <row r="18" spans="1:11" x14ac:dyDescent="0.2">
      <c r="A18" s="5"/>
      <c r="B18" s="5"/>
      <c r="C18" s="5"/>
      <c r="D18" s="5"/>
      <c r="E18" s="5"/>
      <c r="F18" s="5"/>
      <c r="G18" s="5"/>
      <c r="H18" s="5"/>
      <c r="I18" s="5"/>
      <c r="J18" s="5"/>
      <c r="K18" s="5"/>
    </row>
    <row r="19" spans="1:11" x14ac:dyDescent="0.2">
      <c r="A19" s="5"/>
      <c r="B19" s="5"/>
      <c r="C19" s="5"/>
      <c r="D19" s="5"/>
      <c r="E19" s="5"/>
      <c r="F19" s="5"/>
      <c r="G19" s="5"/>
      <c r="H19" s="5"/>
      <c r="I19" s="5"/>
      <c r="J19" s="5"/>
      <c r="K19" s="5"/>
    </row>
    <row r="20" spans="1:11" x14ac:dyDescent="0.2">
      <c r="A20" s="2"/>
      <c r="B20" s="2"/>
      <c r="C20" s="2"/>
      <c r="D20" s="2"/>
      <c r="E20" s="2"/>
      <c r="F20" s="2"/>
      <c r="G20" s="2"/>
      <c r="H20" s="2"/>
      <c r="I20" s="2"/>
      <c r="J20" s="2"/>
    </row>
    <row r="21" spans="1:11" x14ac:dyDescent="0.2">
      <c r="A21" s="2"/>
      <c r="B21" s="2"/>
      <c r="C21" s="2"/>
      <c r="D21" s="2"/>
      <c r="E21" s="2"/>
      <c r="F21" s="2"/>
      <c r="G21" s="2"/>
      <c r="H21" s="2"/>
      <c r="I21" s="2"/>
      <c r="J21" s="2"/>
    </row>
    <row r="22" spans="1:11" x14ac:dyDescent="0.2">
      <c r="A22" s="2"/>
      <c r="B22" s="2"/>
      <c r="C22" s="2"/>
      <c r="D22" s="2"/>
      <c r="E22" s="2"/>
      <c r="F22" s="2"/>
      <c r="G22" s="2"/>
      <c r="H22" s="2"/>
      <c r="I22" s="2"/>
      <c r="J22" s="2"/>
    </row>
    <row r="23" spans="1:11" x14ac:dyDescent="0.2">
      <c r="A23" s="2"/>
      <c r="B23" s="2"/>
      <c r="C23" s="2"/>
      <c r="D23" s="2"/>
      <c r="E23" s="2"/>
      <c r="F23" s="2"/>
      <c r="G23" s="2"/>
      <c r="H23" s="2"/>
      <c r="I23" s="2"/>
      <c r="J23" s="2"/>
    </row>
    <row r="24" spans="1:11" x14ac:dyDescent="0.2">
      <c r="A24" s="2"/>
      <c r="B24" s="2"/>
      <c r="C24" s="2"/>
      <c r="D24" s="2"/>
      <c r="E24" s="2"/>
      <c r="F24" s="2"/>
      <c r="G24" s="2"/>
      <c r="H24" s="2"/>
      <c r="I24" s="2"/>
      <c r="J24" s="2"/>
    </row>
    <row r="25" spans="1:11" x14ac:dyDescent="0.2">
      <c r="A25" s="2"/>
      <c r="B25" s="2"/>
      <c r="C25" s="2"/>
      <c r="D25" s="2"/>
      <c r="E25" s="2"/>
      <c r="F25" s="2"/>
      <c r="G25" s="2"/>
      <c r="H25" s="2"/>
      <c r="I25" s="2"/>
      <c r="J25" s="2"/>
    </row>
    <row r="26" spans="1:11" x14ac:dyDescent="0.2">
      <c r="A26" s="2"/>
      <c r="B26" s="2"/>
      <c r="C26" s="2"/>
      <c r="D26" s="2"/>
      <c r="E26" s="2"/>
      <c r="F26" s="2"/>
      <c r="G26" s="2"/>
      <c r="H26" s="2"/>
      <c r="I26" s="2"/>
      <c r="J26" s="2"/>
    </row>
    <row r="27" spans="1:11" x14ac:dyDescent="0.2">
      <c r="A27" s="2"/>
      <c r="B27" s="2"/>
      <c r="C27" s="2"/>
      <c r="D27" s="2"/>
      <c r="E27" s="2"/>
      <c r="F27" s="2"/>
      <c r="G27" s="2"/>
      <c r="H27" s="2"/>
      <c r="I27" s="2"/>
      <c r="J27" s="2"/>
    </row>
    <row r="28" spans="1:11" x14ac:dyDescent="0.2">
      <c r="A28" s="2"/>
      <c r="B28" s="2"/>
      <c r="C28" s="2"/>
      <c r="D28" s="2"/>
      <c r="E28" s="2"/>
      <c r="F28" s="2"/>
      <c r="G28" s="2"/>
      <c r="H28" s="2"/>
      <c r="I28" s="2"/>
      <c r="J28" s="2"/>
    </row>
    <row r="29" spans="1:11" x14ac:dyDescent="0.2">
      <c r="A29" s="2"/>
      <c r="B29" s="2"/>
      <c r="C29" s="2"/>
      <c r="D29" s="2"/>
      <c r="E29" s="2"/>
      <c r="F29" s="2"/>
      <c r="G29" s="2"/>
      <c r="H29" s="2"/>
      <c r="I29" s="2"/>
      <c r="J29" s="2"/>
    </row>
    <row r="30" spans="1:11" x14ac:dyDescent="0.2">
      <c r="A30" s="2"/>
      <c r="B30" s="2"/>
      <c r="C30" s="2"/>
      <c r="D30" s="2"/>
      <c r="E30" s="2"/>
      <c r="F30" s="2"/>
      <c r="G30" s="2"/>
      <c r="H30" s="2"/>
      <c r="I30" s="2"/>
      <c r="J30" s="2"/>
    </row>
    <row r="31" spans="1:11" x14ac:dyDescent="0.2">
      <c r="A31" s="2"/>
      <c r="B31" s="2"/>
      <c r="C31" s="2"/>
      <c r="D31" s="2"/>
      <c r="E31" s="2"/>
      <c r="F31" s="2"/>
      <c r="G31" s="2"/>
      <c r="H31" s="2"/>
      <c r="I31" s="2"/>
      <c r="J31" s="2"/>
    </row>
    <row r="32" spans="1:11" x14ac:dyDescent="0.2">
      <c r="A32" s="2"/>
      <c r="B32" s="2"/>
      <c r="C32" s="2"/>
      <c r="D32" s="2"/>
      <c r="E32" s="2"/>
      <c r="F32" s="2"/>
      <c r="G32" s="2"/>
      <c r="H32" s="2"/>
      <c r="I32" s="2"/>
      <c r="J32" s="2"/>
    </row>
    <row r="33" spans="1:10" x14ac:dyDescent="0.2">
      <c r="A33" s="2"/>
      <c r="B33" s="2"/>
      <c r="C33" s="2"/>
      <c r="D33" s="2"/>
      <c r="E33" s="2"/>
      <c r="F33" s="2"/>
      <c r="G33" s="2"/>
      <c r="H33" s="2"/>
      <c r="I33" s="2"/>
      <c r="J33" s="2"/>
    </row>
    <row r="34" spans="1:10" x14ac:dyDescent="0.2">
      <c r="A34" s="2"/>
      <c r="B34" s="2"/>
      <c r="C34" s="2"/>
      <c r="D34" s="2"/>
      <c r="E34" s="2"/>
      <c r="F34" s="2"/>
      <c r="G34" s="2"/>
      <c r="H34" s="2"/>
      <c r="I34" s="2"/>
      <c r="J34" s="2"/>
    </row>
    <row r="35" spans="1:10" x14ac:dyDescent="0.2">
      <c r="A35" s="2"/>
      <c r="B35" s="2"/>
      <c r="C35" s="2"/>
      <c r="D35" s="2"/>
      <c r="E35" s="2"/>
      <c r="F35" s="2"/>
      <c r="G35" s="2"/>
      <c r="H35" s="2"/>
      <c r="I35" s="2"/>
      <c r="J35" s="2"/>
    </row>
    <row r="36" spans="1:10" x14ac:dyDescent="0.2">
      <c r="A36" s="2"/>
      <c r="B36" s="2"/>
      <c r="C36" s="2"/>
      <c r="D36" s="2"/>
      <c r="E36" s="2"/>
      <c r="F36" s="2"/>
      <c r="G36" s="2"/>
      <c r="H36" s="2"/>
      <c r="I36" s="2"/>
      <c r="J36" s="2"/>
    </row>
    <row r="37" spans="1:10" x14ac:dyDescent="0.2">
      <c r="A37" s="2"/>
      <c r="B37" s="2"/>
      <c r="C37" s="2"/>
      <c r="D37" s="2"/>
      <c r="E37" s="2"/>
      <c r="F37" s="2"/>
      <c r="G37" s="2"/>
      <c r="H37" s="2"/>
      <c r="I37" s="2"/>
      <c r="J37" s="2"/>
    </row>
    <row r="38" spans="1:10" x14ac:dyDescent="0.2">
      <c r="A38" s="2"/>
      <c r="B38" s="2"/>
      <c r="C38" s="2"/>
      <c r="D38" s="2"/>
      <c r="E38" s="2"/>
      <c r="F38" s="2"/>
      <c r="G38" s="2"/>
      <c r="H38" s="2"/>
      <c r="I38" s="2"/>
      <c r="J38" s="2"/>
    </row>
    <row r="39" spans="1:10" x14ac:dyDescent="0.2">
      <c r="A39" s="2"/>
      <c r="B39" s="2"/>
      <c r="C39" s="2"/>
      <c r="D39" s="2"/>
      <c r="E39" s="2"/>
      <c r="F39" s="2"/>
      <c r="G39" s="2"/>
      <c r="H39" s="2"/>
      <c r="I39" s="2"/>
      <c r="J39" s="2"/>
    </row>
    <row r="40" spans="1:10" x14ac:dyDescent="0.2">
      <c r="A40" s="2"/>
      <c r="B40" s="2"/>
      <c r="C40" s="2"/>
      <c r="D40" s="2"/>
      <c r="E40" s="2"/>
      <c r="F40" s="2"/>
      <c r="G40" s="2"/>
      <c r="H40" s="2"/>
      <c r="I40" s="2"/>
      <c r="J40" s="2"/>
    </row>
    <row r="41" spans="1:10" x14ac:dyDescent="0.2">
      <c r="A41" s="2"/>
      <c r="B41" s="2"/>
      <c r="C41" s="2"/>
      <c r="D41" s="2"/>
      <c r="E41" s="2"/>
      <c r="F41" s="2"/>
      <c r="G41" s="2"/>
      <c r="H41" s="2"/>
      <c r="I41" s="2"/>
      <c r="J41" s="2"/>
    </row>
    <row r="42" spans="1:10" x14ac:dyDescent="0.2">
      <c r="A42" s="2"/>
      <c r="B42" s="2"/>
      <c r="C42" s="2"/>
      <c r="D42" s="2"/>
      <c r="E42" s="2"/>
      <c r="F42" s="2"/>
      <c r="G42" s="2"/>
      <c r="H42" s="2"/>
      <c r="I42" s="2"/>
      <c r="J42" s="2"/>
    </row>
    <row r="43" spans="1:10" x14ac:dyDescent="0.2">
      <c r="A43" s="2"/>
      <c r="B43" s="2"/>
      <c r="C43" s="2"/>
      <c r="D43" s="2"/>
      <c r="E43" s="2"/>
      <c r="F43" s="2"/>
      <c r="G43" s="2"/>
      <c r="H43" s="2"/>
      <c r="I43" s="2"/>
      <c r="J43" s="2"/>
    </row>
    <row r="44" spans="1:10" x14ac:dyDescent="0.2">
      <c r="A44" s="2"/>
      <c r="B44" s="2"/>
      <c r="C44" s="2"/>
      <c r="D44" s="2"/>
      <c r="E44" s="2"/>
      <c r="F44" s="2"/>
      <c r="G44" s="2"/>
      <c r="H44" s="2"/>
      <c r="I44" s="2"/>
      <c r="J44" s="2"/>
    </row>
    <row r="45" spans="1:10" x14ac:dyDescent="0.2">
      <c r="A45" s="2"/>
      <c r="B45" s="2"/>
      <c r="C45" s="2"/>
      <c r="D45" s="2"/>
      <c r="E45" s="2"/>
      <c r="F45" s="2"/>
      <c r="G45" s="2"/>
      <c r="H45" s="2"/>
      <c r="I45" s="2"/>
      <c r="J45" s="2"/>
    </row>
    <row r="46" spans="1:10" x14ac:dyDescent="0.2">
      <c r="A46" s="2"/>
      <c r="B46" s="2"/>
      <c r="C46" s="2"/>
      <c r="D46" s="2"/>
      <c r="E46" s="2"/>
      <c r="F46" s="2"/>
      <c r="G46" s="2"/>
      <c r="H46" s="2"/>
      <c r="I46" s="2"/>
      <c r="J46" s="2"/>
    </row>
    <row r="47" spans="1:10" x14ac:dyDescent="0.2">
      <c r="A47" s="2"/>
      <c r="B47" s="2"/>
      <c r="C47" s="2"/>
      <c r="D47" s="2"/>
      <c r="E47" s="2"/>
      <c r="F47" s="2"/>
      <c r="G47" s="2"/>
      <c r="H47" s="2"/>
      <c r="I47" s="2"/>
      <c r="J47" s="2"/>
    </row>
    <row r="48" spans="1:10" x14ac:dyDescent="0.2">
      <c r="A48" s="2"/>
      <c r="B48" s="2"/>
      <c r="C48" s="2"/>
      <c r="D48" s="2"/>
      <c r="E48" s="2"/>
      <c r="F48" s="2"/>
      <c r="G48" s="2"/>
      <c r="H48" s="2"/>
      <c r="I48" s="2"/>
      <c r="J48" s="2"/>
    </row>
    <row r="49" spans="1:10" x14ac:dyDescent="0.2">
      <c r="A49" s="2"/>
      <c r="B49" s="2"/>
      <c r="C49" s="2"/>
      <c r="D49" s="2"/>
      <c r="E49" s="2"/>
      <c r="F49" s="2"/>
      <c r="G49" s="2"/>
      <c r="H49" s="2"/>
      <c r="I49" s="2"/>
      <c r="J49" s="2"/>
    </row>
    <row r="50" spans="1:10" x14ac:dyDescent="0.2">
      <c r="A50" s="2"/>
      <c r="B50" s="2"/>
      <c r="C50" s="2"/>
      <c r="D50" s="2"/>
      <c r="E50" s="2"/>
      <c r="F50" s="2"/>
      <c r="G50" s="2"/>
      <c r="H50" s="2"/>
      <c r="I50" s="2"/>
      <c r="J50" s="2"/>
    </row>
    <row r="51" spans="1:10" x14ac:dyDescent="0.2">
      <c r="A51" s="2"/>
      <c r="B51" s="2"/>
      <c r="C51" s="2"/>
      <c r="D51" s="2"/>
      <c r="E51" s="2"/>
      <c r="F51" s="2"/>
      <c r="G51" s="2"/>
      <c r="H51" s="2"/>
      <c r="I51" s="2"/>
      <c r="J51" s="2"/>
    </row>
    <row r="52" spans="1:10" x14ac:dyDescent="0.2">
      <c r="A52" s="2"/>
      <c r="B52" s="2"/>
      <c r="C52" s="2"/>
      <c r="D52" s="2"/>
      <c r="E52" s="2"/>
      <c r="F52" s="2"/>
      <c r="G52" s="2"/>
      <c r="H52" s="2"/>
      <c r="I52" s="2"/>
      <c r="J52" s="2"/>
    </row>
    <row r="53" spans="1:10" x14ac:dyDescent="0.2">
      <c r="A53" s="2"/>
      <c r="B53" s="2"/>
      <c r="C53" s="2"/>
      <c r="D53" s="2"/>
      <c r="E53" s="2"/>
      <c r="F53" s="2"/>
      <c r="G53" s="2"/>
      <c r="H53" s="2"/>
      <c r="I53" s="2"/>
      <c r="J53" s="2"/>
    </row>
    <row r="54" spans="1:10" x14ac:dyDescent="0.2">
      <c r="A54" s="2"/>
      <c r="B54" s="2"/>
      <c r="C54" s="2"/>
      <c r="D54" s="2"/>
      <c r="E54" s="2"/>
      <c r="F54" s="2"/>
      <c r="G54" s="2"/>
      <c r="H54" s="2"/>
      <c r="I54" s="2"/>
      <c r="J54" s="2"/>
    </row>
    <row r="55" spans="1:10" x14ac:dyDescent="0.2">
      <c r="A55" s="2"/>
      <c r="B55" s="2"/>
      <c r="C55" s="2"/>
      <c r="D55" s="2"/>
      <c r="E55" s="2"/>
      <c r="F55" s="2"/>
      <c r="G55" s="2"/>
      <c r="H55" s="2"/>
      <c r="I55" s="2"/>
      <c r="J55" s="2"/>
    </row>
    <row r="56" spans="1:10" x14ac:dyDescent="0.2">
      <c r="A56" s="2"/>
      <c r="B56" s="2"/>
      <c r="C56" s="2"/>
      <c r="D56" s="2"/>
      <c r="E56" s="2"/>
      <c r="F56" s="2"/>
      <c r="G56" s="2"/>
      <c r="H56" s="2"/>
      <c r="I56" s="2"/>
      <c r="J56" s="2"/>
    </row>
    <row r="57" spans="1:10" x14ac:dyDescent="0.2">
      <c r="A57" s="2"/>
      <c r="B57" s="2"/>
      <c r="C57" s="2"/>
      <c r="D57" s="2"/>
      <c r="E57" s="2"/>
      <c r="F57" s="2"/>
      <c r="G57" s="2"/>
      <c r="H57" s="2"/>
      <c r="I57" s="2"/>
      <c r="J57" s="2"/>
    </row>
    <row r="58" spans="1:10" x14ac:dyDescent="0.2">
      <c r="A58" s="2"/>
      <c r="B58" s="2"/>
      <c r="C58" s="2"/>
      <c r="D58" s="2"/>
      <c r="E58" s="2"/>
      <c r="F58" s="2"/>
      <c r="G58" s="2"/>
      <c r="H58" s="2"/>
      <c r="I58" s="2"/>
      <c r="J58" s="2"/>
    </row>
    <row r="59" spans="1:10" x14ac:dyDescent="0.2">
      <c r="A59" s="2"/>
      <c r="B59" s="2"/>
      <c r="C59" s="2"/>
      <c r="D59" s="2"/>
      <c r="E59" s="2"/>
      <c r="F59" s="2"/>
      <c r="G59" s="2"/>
      <c r="H59" s="2"/>
      <c r="I59" s="2"/>
      <c r="J59" s="2"/>
    </row>
    <row r="60" spans="1:10" x14ac:dyDescent="0.2">
      <c r="A60" s="2"/>
      <c r="B60" s="2"/>
      <c r="C60" s="2"/>
      <c r="D60" s="2"/>
      <c r="E60" s="2"/>
      <c r="F60" s="2"/>
      <c r="G60" s="2"/>
      <c r="H60" s="2"/>
      <c r="I60" s="2"/>
      <c r="J60" s="2"/>
    </row>
    <row r="61" spans="1:10" x14ac:dyDescent="0.2">
      <c r="A61" s="2"/>
      <c r="B61" s="2"/>
      <c r="C61" s="2"/>
      <c r="D61" s="2"/>
      <c r="E61" s="2"/>
      <c r="F61" s="2"/>
      <c r="G61" s="2"/>
      <c r="H61" s="2"/>
      <c r="I61" s="2"/>
      <c r="J61" s="2"/>
    </row>
    <row r="62" spans="1:10" x14ac:dyDescent="0.2">
      <c r="A62" s="2"/>
      <c r="B62" s="2"/>
      <c r="C62" s="2"/>
      <c r="D62" s="2"/>
      <c r="E62" s="2"/>
      <c r="F62" s="2"/>
      <c r="G62" s="2"/>
      <c r="H62" s="2"/>
      <c r="I62" s="2"/>
      <c r="J62" s="2"/>
    </row>
    <row r="63" spans="1:10" x14ac:dyDescent="0.2">
      <c r="A63" s="2"/>
      <c r="B63" s="2"/>
      <c r="C63" s="2"/>
      <c r="D63" s="2"/>
      <c r="E63" s="2"/>
      <c r="F63" s="2"/>
      <c r="G63" s="2"/>
      <c r="H63" s="2"/>
      <c r="I63" s="2"/>
      <c r="J63" s="2"/>
    </row>
    <row r="64" spans="1:10" x14ac:dyDescent="0.2">
      <c r="A64" s="2"/>
      <c r="B64" s="2"/>
      <c r="C64" s="2"/>
      <c r="D64" s="2"/>
      <c r="E64" s="2"/>
      <c r="F64" s="2"/>
      <c r="G64" s="2"/>
      <c r="H64" s="2"/>
      <c r="I64" s="2"/>
      <c r="J64" s="2"/>
    </row>
    <row r="65" spans="1:10" x14ac:dyDescent="0.2">
      <c r="A65" s="2"/>
      <c r="B65" s="2"/>
      <c r="C65" s="2"/>
      <c r="D65" s="2"/>
      <c r="E65" s="2"/>
      <c r="F65" s="2"/>
      <c r="G65" s="2"/>
      <c r="H65" s="2"/>
      <c r="I65" s="2"/>
      <c r="J65" s="2"/>
    </row>
    <row r="66" spans="1:10" x14ac:dyDescent="0.2">
      <c r="A66" s="2"/>
      <c r="B66" s="2"/>
      <c r="C66" s="2"/>
      <c r="D66" s="2"/>
      <c r="E66" s="2"/>
      <c r="F66" s="2"/>
      <c r="G66" s="2"/>
      <c r="H66" s="2"/>
      <c r="I66" s="2"/>
      <c r="J66" s="2"/>
    </row>
    <row r="67" spans="1:10" x14ac:dyDescent="0.2">
      <c r="A67" s="2"/>
      <c r="B67" s="2"/>
      <c r="C67" s="2"/>
      <c r="D67" s="2"/>
      <c r="E67" s="2"/>
      <c r="F67" s="2"/>
      <c r="G67" s="2"/>
      <c r="H67" s="2"/>
      <c r="I67" s="2"/>
      <c r="J67" s="2"/>
    </row>
    <row r="68" spans="1:10" x14ac:dyDescent="0.2">
      <c r="A68" s="2"/>
      <c r="B68" s="2"/>
      <c r="C68" s="2"/>
      <c r="D68" s="2"/>
      <c r="E68" s="2"/>
      <c r="F68" s="2"/>
      <c r="G68" s="2"/>
      <c r="H68" s="2"/>
      <c r="I68" s="2"/>
      <c r="J68" s="2"/>
    </row>
    <row r="69" spans="1:10" x14ac:dyDescent="0.2">
      <c r="A69" s="2"/>
      <c r="B69" s="2"/>
      <c r="C69" s="2"/>
      <c r="D69" s="2"/>
      <c r="E69" s="2"/>
      <c r="F69" s="2"/>
      <c r="G69" s="2"/>
      <c r="H69" s="2"/>
      <c r="I69" s="2"/>
      <c r="J69" s="2"/>
    </row>
    <row r="70" spans="1:10" x14ac:dyDescent="0.2">
      <c r="A70" s="2"/>
      <c r="B70" s="2"/>
      <c r="C70" s="2"/>
      <c r="D70" s="2"/>
      <c r="E70" s="2"/>
      <c r="F70" s="2"/>
      <c r="G70" s="2"/>
      <c r="H70" s="2"/>
      <c r="I70" s="2"/>
      <c r="J70" s="2"/>
    </row>
    <row r="71" spans="1:10" x14ac:dyDescent="0.2">
      <c r="A71" s="2"/>
      <c r="B71" s="2"/>
      <c r="C71" s="2"/>
      <c r="D71" s="2"/>
      <c r="E71" s="2"/>
      <c r="F71" s="2"/>
      <c r="G71" s="2"/>
      <c r="H71" s="2"/>
      <c r="I71" s="2"/>
      <c r="J71" s="2"/>
    </row>
    <row r="72" spans="1:10" x14ac:dyDescent="0.2">
      <c r="A72" s="2"/>
      <c r="B72" s="2"/>
      <c r="C72" s="2"/>
      <c r="D72" s="2"/>
      <c r="E72" s="2"/>
      <c r="F72" s="2"/>
      <c r="G72" s="2"/>
      <c r="H72" s="2"/>
      <c r="I72" s="2"/>
      <c r="J72" s="2"/>
    </row>
    <row r="73" spans="1:10" x14ac:dyDescent="0.2">
      <c r="A73" s="2"/>
      <c r="B73" s="2"/>
      <c r="C73" s="2"/>
      <c r="D73" s="2"/>
      <c r="E73" s="2"/>
      <c r="F73" s="2"/>
      <c r="G73" s="2"/>
      <c r="H73" s="2"/>
      <c r="I73" s="2"/>
      <c r="J73" s="2"/>
    </row>
    <row r="74" spans="1:10" x14ac:dyDescent="0.2">
      <c r="A74" s="2"/>
      <c r="B74" s="2"/>
      <c r="C74" s="2"/>
      <c r="D74" s="2"/>
      <c r="E74" s="2"/>
      <c r="F74" s="2"/>
      <c r="G74" s="2"/>
      <c r="H74" s="2"/>
      <c r="I74" s="2"/>
      <c r="J74" s="2"/>
    </row>
    <row r="75" spans="1:10" x14ac:dyDescent="0.2">
      <c r="A75" s="2"/>
      <c r="B75" s="2"/>
      <c r="C75" s="2"/>
      <c r="D75" s="2"/>
      <c r="E75" s="2"/>
      <c r="F75" s="2"/>
      <c r="G75" s="2"/>
      <c r="H75" s="2"/>
      <c r="I75" s="2"/>
      <c r="J75" s="2"/>
    </row>
    <row r="76" spans="1:10" x14ac:dyDescent="0.2">
      <c r="A76" s="2"/>
      <c r="B76" s="2"/>
      <c r="C76" s="2"/>
      <c r="D76" s="2"/>
      <c r="E76" s="2"/>
      <c r="F76" s="2"/>
      <c r="G76" s="2"/>
      <c r="H76" s="2"/>
      <c r="I76" s="2"/>
      <c r="J76" s="2"/>
    </row>
    <row r="77" spans="1:10" x14ac:dyDescent="0.2">
      <c r="A77" s="2"/>
      <c r="B77" s="2"/>
      <c r="C77" s="2"/>
      <c r="D77" s="2"/>
      <c r="E77" s="2"/>
      <c r="F77" s="2"/>
      <c r="G77" s="2"/>
      <c r="H77" s="2"/>
      <c r="I77" s="2"/>
      <c r="J77" s="2"/>
    </row>
    <row r="78" spans="1:10" x14ac:dyDescent="0.2">
      <c r="A78" s="2"/>
      <c r="B78" s="2"/>
      <c r="C78" s="2"/>
      <c r="D78" s="2"/>
      <c r="E78" s="2"/>
      <c r="F78" s="2"/>
      <c r="G78" s="2"/>
      <c r="H78" s="2"/>
      <c r="I78" s="2"/>
      <c r="J78" s="2"/>
    </row>
    <row r="79" spans="1:10" x14ac:dyDescent="0.2">
      <c r="A79" s="2"/>
      <c r="B79" s="2"/>
      <c r="C79" s="2"/>
      <c r="D79" s="2"/>
      <c r="E79" s="2"/>
      <c r="F79" s="2"/>
      <c r="G79" s="2"/>
      <c r="H79" s="2"/>
      <c r="I79" s="2"/>
      <c r="J79" s="2"/>
    </row>
    <row r="80" spans="1:10" x14ac:dyDescent="0.2">
      <c r="A80" s="2"/>
      <c r="B80" s="2"/>
      <c r="C80" s="2"/>
      <c r="D80" s="2"/>
      <c r="E80" s="2"/>
      <c r="F80" s="2"/>
      <c r="G80" s="2"/>
      <c r="H80" s="2"/>
      <c r="I80" s="2"/>
      <c r="J80" s="2"/>
    </row>
    <row r="81" spans="1:10" x14ac:dyDescent="0.2">
      <c r="A81" s="2"/>
      <c r="B81" s="2"/>
      <c r="C81" s="2"/>
      <c r="D81" s="2"/>
      <c r="E81" s="2"/>
      <c r="F81" s="2"/>
      <c r="G81" s="2"/>
      <c r="H81" s="2"/>
      <c r="I81" s="2"/>
      <c r="J81" s="2"/>
    </row>
    <row r="82" spans="1:10" x14ac:dyDescent="0.2">
      <c r="A82" s="2"/>
      <c r="B82" s="2"/>
      <c r="C82" s="2"/>
      <c r="D82" s="2"/>
      <c r="E82" s="2"/>
      <c r="F82" s="2"/>
      <c r="G82" s="2"/>
      <c r="H82" s="2"/>
      <c r="I82" s="2"/>
      <c r="J82" s="2"/>
    </row>
    <row r="83" spans="1:10" x14ac:dyDescent="0.2">
      <c r="A83" s="2"/>
      <c r="B83" s="2"/>
      <c r="C83" s="2"/>
      <c r="D83" s="2"/>
      <c r="E83" s="2"/>
      <c r="F83" s="2"/>
      <c r="G83" s="2"/>
      <c r="H83" s="2"/>
      <c r="I83" s="2"/>
      <c r="J83" s="2"/>
    </row>
    <row r="84" spans="1:10" x14ac:dyDescent="0.2">
      <c r="A84" s="2"/>
      <c r="B84" s="2"/>
      <c r="C84" s="2"/>
      <c r="D84" s="2"/>
      <c r="E84" s="2"/>
      <c r="F84" s="2"/>
      <c r="G84" s="2"/>
      <c r="H84" s="2"/>
      <c r="I84" s="2"/>
      <c r="J84" s="2"/>
    </row>
    <row r="85" spans="1:10" x14ac:dyDescent="0.2">
      <c r="A85" s="2"/>
      <c r="B85" s="2"/>
      <c r="C85" s="2"/>
      <c r="D85" s="2"/>
      <c r="E85" s="2"/>
      <c r="F85" s="2"/>
      <c r="G85" s="2"/>
      <c r="H85" s="2"/>
      <c r="I85" s="2"/>
      <c r="J85" s="2"/>
    </row>
    <row r="86" spans="1:10" x14ac:dyDescent="0.2">
      <c r="A86" s="2"/>
      <c r="B86" s="2"/>
      <c r="C86" s="2"/>
      <c r="D86" s="2"/>
      <c r="E86" s="2"/>
      <c r="F86" s="2"/>
      <c r="G86" s="2"/>
      <c r="H86" s="2"/>
      <c r="I86" s="2"/>
      <c r="J86" s="2"/>
    </row>
    <row r="87" spans="1:10" x14ac:dyDescent="0.2">
      <c r="A87" s="2"/>
      <c r="B87" s="2"/>
      <c r="C87" s="2"/>
      <c r="D87" s="2"/>
      <c r="E87" s="2"/>
      <c r="F87" s="2"/>
      <c r="G87" s="2"/>
      <c r="H87" s="2"/>
      <c r="I87" s="2"/>
      <c r="J87" s="2"/>
    </row>
    <row r="88" spans="1:10" x14ac:dyDescent="0.2">
      <c r="A88" s="2"/>
      <c r="B88" s="2"/>
      <c r="C88" s="2"/>
      <c r="D88" s="2"/>
      <c r="E88" s="2"/>
      <c r="F88" s="2"/>
      <c r="G88" s="2"/>
      <c r="H88" s="2"/>
      <c r="I88" s="2"/>
      <c r="J88" s="2"/>
    </row>
    <row r="89" spans="1:10" x14ac:dyDescent="0.2">
      <c r="A89" s="2"/>
      <c r="B89" s="2"/>
      <c r="C89" s="2"/>
      <c r="D89" s="2"/>
      <c r="E89" s="2"/>
      <c r="F89" s="2"/>
      <c r="G89" s="2"/>
      <c r="H89" s="2"/>
      <c r="I89" s="2"/>
      <c r="J89" s="2"/>
    </row>
    <row r="90" spans="1:10" x14ac:dyDescent="0.2">
      <c r="A90" s="2"/>
      <c r="B90" s="2"/>
      <c r="C90" s="2"/>
      <c r="D90" s="2"/>
      <c r="E90" s="2"/>
      <c r="F90" s="2"/>
      <c r="G90" s="2"/>
      <c r="H90" s="2"/>
      <c r="I90" s="2"/>
      <c r="J90" s="2"/>
    </row>
    <row r="91" spans="1:10" x14ac:dyDescent="0.2">
      <c r="A91" s="2"/>
      <c r="B91" s="2"/>
      <c r="C91" s="2"/>
      <c r="D91" s="2"/>
      <c r="E91" s="2"/>
      <c r="F91" s="2"/>
      <c r="G91" s="2"/>
      <c r="H91" s="2"/>
      <c r="I91" s="2"/>
      <c r="J91" s="2"/>
    </row>
    <row r="92" spans="1:10" x14ac:dyDescent="0.2">
      <c r="A92" s="2"/>
      <c r="B92" s="2"/>
      <c r="C92" s="2"/>
      <c r="D92" s="2"/>
      <c r="E92" s="2"/>
      <c r="F92" s="2"/>
      <c r="G92" s="2"/>
      <c r="H92" s="2"/>
      <c r="I92" s="2"/>
      <c r="J92" s="2"/>
    </row>
    <row r="93" spans="1:10" x14ac:dyDescent="0.2">
      <c r="A93" s="2"/>
      <c r="B93" s="2"/>
      <c r="C93" s="2"/>
      <c r="D93" s="2"/>
      <c r="E93" s="2"/>
      <c r="F93" s="2"/>
      <c r="G93" s="2"/>
      <c r="H93" s="2"/>
      <c r="I93" s="2"/>
      <c r="J93" s="2"/>
    </row>
    <row r="94" spans="1:10" x14ac:dyDescent="0.2">
      <c r="A94" s="2"/>
      <c r="B94" s="2"/>
      <c r="C94" s="2"/>
      <c r="D94" s="2"/>
      <c r="E94" s="2"/>
      <c r="F94" s="2"/>
      <c r="G94" s="2"/>
      <c r="H94" s="2"/>
      <c r="I94" s="2"/>
      <c r="J94" s="2"/>
    </row>
    <row r="95" spans="1:10" x14ac:dyDescent="0.2">
      <c r="A95" s="2"/>
      <c r="B95" s="2"/>
      <c r="C95" s="2"/>
      <c r="D95" s="2"/>
      <c r="E95" s="2"/>
      <c r="F95" s="2"/>
      <c r="G95" s="2"/>
      <c r="H95" s="2"/>
      <c r="I95" s="2"/>
      <c r="J95" s="2"/>
    </row>
    <row r="96" spans="1:10" x14ac:dyDescent="0.2">
      <c r="A96" s="2"/>
      <c r="B96" s="2"/>
      <c r="C96" s="2"/>
      <c r="D96" s="2"/>
      <c r="E96" s="2"/>
      <c r="F96" s="2"/>
      <c r="G96" s="2"/>
      <c r="H96" s="2"/>
      <c r="I96" s="2"/>
      <c r="J96" s="2"/>
    </row>
    <row r="97" spans="1:10" x14ac:dyDescent="0.2">
      <c r="A97" s="2"/>
      <c r="B97" s="2"/>
      <c r="C97" s="2"/>
      <c r="D97" s="2"/>
      <c r="E97" s="2"/>
      <c r="F97" s="2"/>
      <c r="G97" s="2"/>
      <c r="H97" s="2"/>
      <c r="I97" s="2"/>
      <c r="J97" s="2"/>
    </row>
    <row r="98" spans="1:10" x14ac:dyDescent="0.2">
      <c r="A98" s="2"/>
      <c r="B98" s="2"/>
      <c r="C98" s="2"/>
      <c r="D98" s="2"/>
      <c r="E98" s="2"/>
      <c r="F98" s="2"/>
      <c r="G98" s="2"/>
      <c r="H98" s="2"/>
      <c r="I98" s="2"/>
      <c r="J98" s="2"/>
    </row>
    <row r="99" spans="1:10" x14ac:dyDescent="0.2">
      <c r="A99" s="2"/>
      <c r="B99" s="2"/>
      <c r="C99" s="2"/>
      <c r="D99" s="2"/>
      <c r="E99" s="2"/>
      <c r="F99" s="2"/>
      <c r="G99" s="2"/>
      <c r="H99" s="2"/>
      <c r="I99" s="2"/>
      <c r="J99" s="2"/>
    </row>
    <row r="100" spans="1:10" x14ac:dyDescent="0.2">
      <c r="A100" s="2"/>
      <c r="B100" s="2"/>
      <c r="C100" s="2"/>
      <c r="D100" s="2"/>
      <c r="E100" s="2"/>
      <c r="F100" s="2"/>
      <c r="G100" s="2"/>
      <c r="H100" s="2"/>
      <c r="I100" s="2"/>
      <c r="J100" s="2"/>
    </row>
    <row r="101" spans="1:10" x14ac:dyDescent="0.2">
      <c r="A101" s="2"/>
      <c r="B101" s="2"/>
      <c r="C101" s="2"/>
      <c r="D101" s="2"/>
      <c r="E101" s="2"/>
      <c r="F101" s="2"/>
      <c r="G101" s="2"/>
      <c r="H101" s="2"/>
      <c r="I101" s="2"/>
      <c r="J101" s="2"/>
    </row>
    <row r="102" spans="1:10" x14ac:dyDescent="0.2">
      <c r="A102" s="2"/>
      <c r="B102" s="2"/>
      <c r="C102" s="2"/>
      <c r="D102" s="2"/>
      <c r="E102" s="2"/>
      <c r="F102" s="2"/>
      <c r="G102" s="2"/>
      <c r="H102" s="2"/>
      <c r="I102" s="2"/>
      <c r="J102" s="2"/>
    </row>
    <row r="103" spans="1:10" x14ac:dyDescent="0.2">
      <c r="A103" s="2"/>
      <c r="B103" s="2"/>
      <c r="C103" s="2"/>
      <c r="D103" s="2"/>
      <c r="E103" s="2"/>
      <c r="F103" s="2"/>
      <c r="G103" s="2"/>
      <c r="H103" s="2"/>
      <c r="I103" s="2"/>
      <c r="J103" s="2"/>
    </row>
    <row r="104" spans="1:10" x14ac:dyDescent="0.2">
      <c r="A104" s="2"/>
      <c r="B104" s="2"/>
      <c r="C104" s="2"/>
      <c r="D104" s="2"/>
      <c r="E104" s="2"/>
      <c r="F104" s="2"/>
      <c r="G104" s="2"/>
      <c r="H104" s="2"/>
      <c r="I104" s="2"/>
      <c r="J104" s="2"/>
    </row>
    <row r="105" spans="1:10" x14ac:dyDescent="0.2">
      <c r="A105" s="2"/>
      <c r="B105" s="2"/>
      <c r="C105" s="2"/>
      <c r="D105" s="2"/>
      <c r="E105" s="2"/>
      <c r="F105" s="2"/>
      <c r="G105" s="2"/>
      <c r="H105" s="2"/>
      <c r="I105" s="2"/>
      <c r="J105" s="2"/>
    </row>
    <row r="106" spans="1:10" x14ac:dyDescent="0.2">
      <c r="A106" s="2"/>
      <c r="B106" s="2"/>
      <c r="C106" s="2"/>
      <c r="D106" s="2"/>
      <c r="E106" s="2"/>
      <c r="F106" s="2"/>
      <c r="G106" s="2"/>
      <c r="H106" s="2"/>
      <c r="I106" s="2"/>
      <c r="J106" s="2"/>
    </row>
    <row r="107" spans="1:10" x14ac:dyDescent="0.2">
      <c r="A107" s="2"/>
      <c r="B107" s="2"/>
      <c r="C107" s="2"/>
      <c r="D107" s="2"/>
      <c r="E107" s="2"/>
      <c r="F107" s="2"/>
      <c r="G107" s="2"/>
      <c r="H107" s="2"/>
      <c r="I107" s="2"/>
      <c r="J107" s="2"/>
    </row>
    <row r="108" spans="1:10" x14ac:dyDescent="0.2">
      <c r="A108" s="2"/>
      <c r="B108" s="2"/>
      <c r="C108" s="2"/>
      <c r="D108" s="2"/>
      <c r="E108" s="2"/>
      <c r="F108" s="2"/>
      <c r="G108" s="2"/>
      <c r="H108" s="2"/>
      <c r="I108" s="2"/>
      <c r="J108" s="2"/>
    </row>
    <row r="109" spans="1:10" x14ac:dyDescent="0.2">
      <c r="A109" s="2"/>
      <c r="B109" s="2"/>
      <c r="C109" s="2"/>
      <c r="D109" s="2"/>
      <c r="E109" s="2"/>
      <c r="F109" s="2"/>
      <c r="G109" s="2"/>
      <c r="H109" s="2"/>
      <c r="I109" s="2"/>
      <c r="J109" s="2"/>
    </row>
    <row r="110" spans="1:10" x14ac:dyDescent="0.2">
      <c r="A110" s="2"/>
      <c r="B110" s="2"/>
      <c r="C110" s="2"/>
      <c r="D110" s="2"/>
      <c r="E110" s="2"/>
      <c r="F110" s="2"/>
      <c r="G110" s="2"/>
      <c r="H110" s="2"/>
      <c r="I110" s="2"/>
      <c r="J110" s="2"/>
    </row>
    <row r="111" spans="1:10" x14ac:dyDescent="0.2">
      <c r="A111" s="2"/>
      <c r="B111" s="2"/>
      <c r="C111" s="2"/>
      <c r="D111" s="2"/>
      <c r="E111" s="2"/>
      <c r="F111" s="2"/>
      <c r="G111" s="2"/>
      <c r="H111" s="2"/>
      <c r="I111" s="2"/>
      <c r="J111" s="2"/>
    </row>
    <row r="112" spans="1:10" x14ac:dyDescent="0.2">
      <c r="A112" s="2"/>
      <c r="B112" s="2"/>
      <c r="C112" s="2"/>
      <c r="D112" s="2"/>
      <c r="E112" s="2"/>
      <c r="F112" s="2"/>
      <c r="G112" s="2"/>
      <c r="H112" s="2"/>
      <c r="I112" s="2"/>
      <c r="J112" s="2"/>
    </row>
    <row r="113" spans="1:10" x14ac:dyDescent="0.2">
      <c r="A113" s="2"/>
      <c r="B113" s="2"/>
      <c r="C113" s="2"/>
      <c r="D113" s="2"/>
      <c r="E113" s="2"/>
      <c r="F113" s="2"/>
      <c r="G113" s="2"/>
      <c r="H113" s="2"/>
      <c r="I113" s="2"/>
      <c r="J113" s="2"/>
    </row>
    <row r="114" spans="1:10" x14ac:dyDescent="0.2">
      <c r="A114" s="2"/>
      <c r="B114" s="2"/>
      <c r="C114" s="2"/>
      <c r="D114" s="2"/>
      <c r="E114" s="2"/>
      <c r="F114" s="2"/>
      <c r="G114" s="2"/>
      <c r="H114" s="2"/>
      <c r="I114" s="2"/>
      <c r="J114" s="2"/>
    </row>
    <row r="115" spans="1:10" x14ac:dyDescent="0.2">
      <c r="A115" s="2"/>
      <c r="B115" s="2"/>
      <c r="C115" s="2"/>
      <c r="D115" s="2"/>
      <c r="E115" s="2"/>
      <c r="F115" s="2"/>
      <c r="G115" s="2"/>
      <c r="H115" s="2"/>
      <c r="I115" s="2"/>
      <c r="J115" s="2"/>
    </row>
    <row r="116" spans="1:10" x14ac:dyDescent="0.2">
      <c r="A116" s="2"/>
      <c r="B116" s="2"/>
      <c r="C116" s="2"/>
      <c r="D116" s="2"/>
      <c r="E116" s="2"/>
      <c r="F116" s="2"/>
      <c r="G116" s="2"/>
      <c r="H116" s="2"/>
      <c r="I116" s="2"/>
      <c r="J116" s="2"/>
    </row>
    <row r="117" spans="1:10" x14ac:dyDescent="0.2">
      <c r="A117" s="2"/>
      <c r="B117" s="2"/>
      <c r="C117" s="2"/>
      <c r="D117" s="2"/>
      <c r="E117" s="2"/>
      <c r="F117" s="2"/>
      <c r="G117" s="2"/>
      <c r="H117" s="2"/>
      <c r="I117" s="2"/>
      <c r="J117" s="2"/>
    </row>
    <row r="118" spans="1:10" x14ac:dyDescent="0.2">
      <c r="A118" s="2"/>
      <c r="B118" s="2"/>
      <c r="C118" s="2"/>
      <c r="D118" s="2"/>
      <c r="E118" s="2"/>
      <c r="F118" s="2"/>
      <c r="G118" s="2"/>
      <c r="H118" s="2"/>
      <c r="I118" s="2"/>
      <c r="J118" s="2"/>
    </row>
    <row r="119" spans="1:10" x14ac:dyDescent="0.2">
      <c r="A119" s="2"/>
      <c r="B119" s="2"/>
      <c r="C119" s="2"/>
      <c r="D119" s="2"/>
      <c r="E119" s="2"/>
      <c r="F119" s="2"/>
      <c r="G119" s="2"/>
      <c r="H119" s="2"/>
      <c r="I119" s="2"/>
      <c r="J119" s="2"/>
    </row>
    <row r="120" spans="1:10" x14ac:dyDescent="0.2">
      <c r="A120" s="2"/>
      <c r="B120" s="2"/>
      <c r="C120" s="2"/>
      <c r="D120" s="2"/>
      <c r="E120" s="2"/>
      <c r="F120" s="2"/>
      <c r="G120" s="2"/>
      <c r="H120" s="2"/>
      <c r="I120" s="2"/>
      <c r="J120" s="2"/>
    </row>
    <row r="121" spans="1:10" x14ac:dyDescent="0.2">
      <c r="A121" s="2"/>
      <c r="B121" s="2"/>
      <c r="C121" s="2"/>
      <c r="D121" s="2"/>
      <c r="E121" s="2"/>
      <c r="F121" s="2"/>
      <c r="G121" s="2"/>
      <c r="H121" s="2"/>
      <c r="I121" s="2"/>
      <c r="J121" s="2"/>
    </row>
    <row r="122" spans="1:10" x14ac:dyDescent="0.2">
      <c r="A122" s="2"/>
      <c r="B122" s="2"/>
      <c r="C122" s="2"/>
      <c r="D122" s="2"/>
      <c r="E122" s="2"/>
      <c r="F122" s="2"/>
      <c r="G122" s="2"/>
      <c r="H122" s="2"/>
      <c r="I122" s="2"/>
      <c r="J122" s="2"/>
    </row>
    <row r="123" spans="1:10" x14ac:dyDescent="0.2">
      <c r="A123" s="2"/>
      <c r="B123" s="2"/>
      <c r="C123" s="2"/>
      <c r="D123" s="2"/>
      <c r="E123" s="2"/>
      <c r="F123" s="2"/>
      <c r="G123" s="2"/>
      <c r="H123" s="2"/>
      <c r="I123" s="2"/>
      <c r="J123" s="2"/>
    </row>
    <row r="124" spans="1:10" x14ac:dyDescent="0.2">
      <c r="A124" s="2"/>
      <c r="B124" s="2"/>
      <c r="C124" s="2"/>
      <c r="D124" s="2"/>
      <c r="E124" s="2"/>
      <c r="F124" s="2"/>
      <c r="G124" s="2"/>
      <c r="H124" s="2"/>
      <c r="I124" s="2"/>
      <c r="J124" s="2"/>
    </row>
    <row r="125" spans="1:10" x14ac:dyDescent="0.2">
      <c r="A125" s="2"/>
      <c r="B125" s="2"/>
      <c r="C125" s="2"/>
      <c r="D125" s="2"/>
      <c r="E125" s="2"/>
      <c r="F125" s="2"/>
      <c r="G125" s="2"/>
      <c r="H125" s="2"/>
      <c r="I125" s="2"/>
      <c r="J125" s="2"/>
    </row>
    <row r="126" spans="1:10" x14ac:dyDescent="0.2">
      <c r="A126" s="2"/>
      <c r="B126" s="2"/>
      <c r="C126" s="2"/>
      <c r="D126" s="2"/>
      <c r="E126" s="2"/>
      <c r="F126" s="2"/>
      <c r="G126" s="2"/>
      <c r="H126" s="2"/>
      <c r="I126" s="2"/>
      <c r="J126" s="2"/>
    </row>
    <row r="127" spans="1:10" x14ac:dyDescent="0.2">
      <c r="A127" s="2"/>
      <c r="B127" s="2"/>
      <c r="C127" s="2"/>
      <c r="D127" s="2"/>
      <c r="E127" s="2"/>
      <c r="F127" s="2"/>
      <c r="G127" s="2"/>
      <c r="H127" s="2"/>
      <c r="I127" s="2"/>
      <c r="J127" s="2"/>
    </row>
    <row r="128" spans="1:10" x14ac:dyDescent="0.2">
      <c r="A128" s="2"/>
      <c r="B128" s="2"/>
      <c r="C128" s="2"/>
      <c r="D128" s="2"/>
      <c r="E128" s="2"/>
      <c r="F128" s="2"/>
      <c r="G128" s="2"/>
      <c r="H128" s="2"/>
      <c r="I128" s="2"/>
      <c r="J128" s="2"/>
    </row>
    <row r="129" spans="1:10" x14ac:dyDescent="0.2">
      <c r="A129" s="2"/>
      <c r="B129" s="2"/>
      <c r="C129" s="2"/>
      <c r="D129" s="2"/>
      <c r="E129" s="2"/>
      <c r="F129" s="2"/>
      <c r="G129" s="2"/>
      <c r="H129" s="2"/>
      <c r="I129" s="2"/>
      <c r="J129" s="2"/>
    </row>
    <row r="130" spans="1:10" x14ac:dyDescent="0.2">
      <c r="A130" s="2"/>
      <c r="B130" s="2"/>
      <c r="C130" s="2"/>
      <c r="D130" s="2"/>
      <c r="E130" s="2"/>
      <c r="F130" s="2"/>
      <c r="G130" s="2"/>
      <c r="H130" s="2"/>
      <c r="I130" s="2"/>
      <c r="J130" s="2"/>
    </row>
    <row r="131" spans="1:10" x14ac:dyDescent="0.2">
      <c r="A131" s="2"/>
      <c r="B131" s="2"/>
      <c r="C131" s="2"/>
      <c r="D131" s="2"/>
      <c r="E131" s="2"/>
      <c r="F131" s="2"/>
      <c r="G131" s="2"/>
      <c r="H131" s="2"/>
      <c r="I131" s="2"/>
      <c r="J131" s="2"/>
    </row>
    <row r="132" spans="1:10" x14ac:dyDescent="0.2">
      <c r="A132" s="2"/>
      <c r="B132" s="2"/>
      <c r="C132" s="2"/>
      <c r="D132" s="2"/>
      <c r="E132" s="2"/>
      <c r="F132" s="2"/>
      <c r="G132" s="2"/>
      <c r="H132" s="2"/>
      <c r="I132" s="2"/>
      <c r="J132" s="2"/>
    </row>
    <row r="133" spans="1:10" x14ac:dyDescent="0.2">
      <c r="A133" s="2"/>
      <c r="B133" s="2"/>
      <c r="C133" s="2"/>
      <c r="D133" s="2"/>
      <c r="E133" s="2"/>
      <c r="F133" s="2"/>
      <c r="G133" s="2"/>
      <c r="H133" s="2"/>
      <c r="I133" s="2"/>
      <c r="J133" s="2"/>
    </row>
    <row r="134" spans="1:10" x14ac:dyDescent="0.2">
      <c r="A134" s="2"/>
      <c r="B134" s="2"/>
      <c r="C134" s="2"/>
      <c r="D134" s="2"/>
      <c r="E134" s="2"/>
      <c r="F134" s="2"/>
      <c r="G134" s="2"/>
      <c r="H134" s="2"/>
      <c r="I134" s="2"/>
      <c r="J134" s="2"/>
    </row>
    <row r="135" spans="1:10" x14ac:dyDescent="0.2">
      <c r="A135" s="2"/>
      <c r="B135" s="2"/>
      <c r="C135" s="2"/>
      <c r="D135" s="2"/>
      <c r="E135" s="2"/>
      <c r="F135" s="2"/>
      <c r="G135" s="2"/>
      <c r="H135" s="2"/>
      <c r="I135" s="2"/>
      <c r="J135" s="2"/>
    </row>
    <row r="136" spans="1:10" x14ac:dyDescent="0.2">
      <c r="A136" s="2"/>
      <c r="B136" s="2"/>
      <c r="C136" s="2"/>
      <c r="D136" s="2"/>
      <c r="E136" s="2"/>
      <c r="F136" s="2"/>
      <c r="G136" s="2"/>
      <c r="H136" s="2"/>
      <c r="I136" s="2"/>
      <c r="J136" s="2"/>
    </row>
    <row r="137" spans="1:10" x14ac:dyDescent="0.2">
      <c r="A137" s="2"/>
      <c r="B137" s="2"/>
      <c r="C137" s="2"/>
      <c r="D137" s="2"/>
      <c r="E137" s="2"/>
      <c r="F137" s="2"/>
      <c r="G137" s="2"/>
      <c r="H137" s="2"/>
      <c r="I137" s="2"/>
      <c r="J137" s="2"/>
    </row>
    <row r="138" spans="1:10" x14ac:dyDescent="0.2">
      <c r="A138" s="2"/>
      <c r="B138" s="2"/>
      <c r="C138" s="2"/>
      <c r="D138" s="2"/>
      <c r="E138" s="2"/>
      <c r="F138" s="2"/>
      <c r="G138" s="2"/>
      <c r="H138" s="2"/>
      <c r="I138" s="2"/>
      <c r="J138" s="2"/>
    </row>
    <row r="139" spans="1:10" x14ac:dyDescent="0.2">
      <c r="A139" s="2"/>
      <c r="B139" s="2"/>
      <c r="C139" s="2"/>
      <c r="D139" s="2"/>
      <c r="E139" s="2"/>
      <c r="F139" s="2"/>
      <c r="G139" s="2"/>
      <c r="H139" s="2"/>
      <c r="I139" s="2"/>
      <c r="J139" s="2"/>
    </row>
    <row r="140" spans="1:10" x14ac:dyDescent="0.2">
      <c r="A140" s="2"/>
      <c r="B140" s="2"/>
      <c r="C140" s="2"/>
      <c r="D140" s="2"/>
      <c r="E140" s="2"/>
      <c r="F140" s="2"/>
      <c r="G140" s="2"/>
      <c r="H140" s="2"/>
      <c r="I140" s="2"/>
      <c r="J140" s="2"/>
    </row>
    <row r="141" spans="1:10" x14ac:dyDescent="0.2">
      <c r="A141" s="2"/>
      <c r="B141" s="2"/>
      <c r="C141" s="2"/>
      <c r="D141" s="2"/>
      <c r="E141" s="2"/>
      <c r="F141" s="2"/>
      <c r="G141" s="2"/>
      <c r="H141" s="2"/>
      <c r="I141" s="2"/>
      <c r="J141" s="2"/>
    </row>
    <row r="142" spans="1:10" x14ac:dyDescent="0.2">
      <c r="A142" s="2"/>
      <c r="B142" s="2"/>
      <c r="C142" s="2"/>
      <c r="D142" s="2"/>
      <c r="E142" s="2"/>
      <c r="F142" s="2"/>
      <c r="G142" s="2"/>
      <c r="H142" s="2"/>
      <c r="I142" s="2"/>
      <c r="J142" s="2"/>
    </row>
    <row r="143" spans="1:10" x14ac:dyDescent="0.2">
      <c r="A143" s="2"/>
      <c r="B143" s="2"/>
      <c r="C143" s="2"/>
      <c r="D143" s="2"/>
      <c r="E143" s="2"/>
      <c r="F143" s="2"/>
      <c r="G143" s="2"/>
      <c r="H143" s="2"/>
      <c r="I143" s="2"/>
      <c r="J143" s="2"/>
    </row>
    <row r="144" spans="1:10" x14ac:dyDescent="0.2">
      <c r="A144" s="2"/>
      <c r="B144" s="2"/>
      <c r="C144" s="2"/>
      <c r="D144" s="2"/>
      <c r="E144" s="2"/>
      <c r="F144" s="2"/>
      <c r="G144" s="2"/>
      <c r="H144" s="2"/>
      <c r="I144" s="2"/>
      <c r="J144" s="2"/>
    </row>
    <row r="145" spans="1:10" x14ac:dyDescent="0.2">
      <c r="A145" s="2"/>
      <c r="B145" s="2"/>
      <c r="C145" s="2"/>
      <c r="D145" s="2"/>
      <c r="E145" s="2"/>
      <c r="F145" s="2"/>
      <c r="G145" s="2"/>
      <c r="H145" s="2"/>
      <c r="I145" s="2"/>
      <c r="J145" s="2"/>
    </row>
    <row r="146" spans="1:10" x14ac:dyDescent="0.2">
      <c r="A146" s="2"/>
      <c r="B146" s="2"/>
      <c r="C146" s="2"/>
      <c r="D146" s="2"/>
      <c r="E146" s="2"/>
      <c r="F146" s="2"/>
      <c r="G146" s="2"/>
      <c r="H146" s="2"/>
      <c r="I146" s="2"/>
      <c r="J146" s="2"/>
    </row>
    <row r="147" spans="1:10" x14ac:dyDescent="0.2">
      <c r="A147" s="2"/>
      <c r="B147" s="2"/>
      <c r="C147" s="2"/>
      <c r="D147" s="2"/>
      <c r="E147" s="2"/>
      <c r="F147" s="2"/>
      <c r="G147" s="2"/>
      <c r="H147" s="2"/>
      <c r="I147" s="2"/>
      <c r="J147" s="2"/>
    </row>
    <row r="148" spans="1:10" x14ac:dyDescent="0.2">
      <c r="A148" s="2"/>
      <c r="B148" s="2"/>
      <c r="C148" s="2"/>
      <c r="D148" s="2"/>
      <c r="E148" s="2"/>
      <c r="F148" s="2"/>
      <c r="G148" s="2"/>
      <c r="H148" s="2"/>
      <c r="I148" s="2"/>
      <c r="J148" s="2"/>
    </row>
    <row r="149" spans="1:10" x14ac:dyDescent="0.2">
      <c r="A149" s="2"/>
      <c r="B149" s="2"/>
      <c r="C149" s="2"/>
      <c r="D149" s="2"/>
      <c r="E149" s="2"/>
      <c r="F149" s="2"/>
      <c r="G149" s="2"/>
      <c r="H149" s="2"/>
      <c r="I149" s="2"/>
      <c r="J149" s="2"/>
    </row>
    <row r="150" spans="1:10" x14ac:dyDescent="0.2">
      <c r="A150" s="2"/>
      <c r="B150" s="2"/>
      <c r="C150" s="2"/>
      <c r="D150" s="2"/>
      <c r="E150" s="2"/>
      <c r="F150" s="2"/>
      <c r="G150" s="2"/>
      <c r="H150" s="2"/>
      <c r="I150" s="2"/>
      <c r="J150" s="2"/>
    </row>
    <row r="151" spans="1:10" x14ac:dyDescent="0.2">
      <c r="A151" s="2"/>
      <c r="B151" s="2"/>
      <c r="C151" s="2"/>
      <c r="D151" s="2"/>
      <c r="E151" s="2"/>
      <c r="F151" s="2"/>
      <c r="G151" s="2"/>
      <c r="H151" s="2"/>
      <c r="I151" s="2"/>
      <c r="J151" s="2"/>
    </row>
    <row r="152" spans="1:10" x14ac:dyDescent="0.2">
      <c r="A152" s="2"/>
      <c r="B152" s="2"/>
      <c r="C152" s="2"/>
      <c r="D152" s="2"/>
      <c r="E152" s="2"/>
      <c r="F152" s="2"/>
      <c r="G152" s="2"/>
      <c r="H152" s="2"/>
      <c r="I152" s="2"/>
      <c r="J152" s="2"/>
    </row>
    <row r="153" spans="1:10" x14ac:dyDescent="0.2">
      <c r="A153" s="2"/>
      <c r="B153" s="2"/>
      <c r="C153" s="2"/>
      <c r="D153" s="2"/>
      <c r="E153" s="2"/>
      <c r="F153" s="2"/>
      <c r="G153" s="2"/>
      <c r="H153" s="2"/>
      <c r="I153" s="2"/>
      <c r="J153" s="2"/>
    </row>
    <row r="154" spans="1:10" x14ac:dyDescent="0.2">
      <c r="A154" s="2"/>
      <c r="B154" s="2"/>
      <c r="C154" s="2"/>
      <c r="D154" s="2"/>
      <c r="E154" s="2"/>
      <c r="F154" s="2"/>
      <c r="G154" s="2"/>
      <c r="H154" s="2"/>
      <c r="I154" s="2"/>
      <c r="J154" s="2"/>
    </row>
    <row r="155" spans="1:10" x14ac:dyDescent="0.2">
      <c r="A155" s="2"/>
      <c r="B155" s="2"/>
      <c r="C155" s="2"/>
      <c r="D155" s="2"/>
      <c r="E155" s="2"/>
      <c r="F155" s="2"/>
      <c r="G155" s="2"/>
      <c r="H155" s="2"/>
      <c r="I155" s="2"/>
      <c r="J155" s="2"/>
    </row>
    <row r="156" spans="1:10" x14ac:dyDescent="0.2">
      <c r="A156" s="2"/>
      <c r="B156" s="2"/>
      <c r="C156" s="2"/>
      <c r="D156" s="2"/>
      <c r="E156" s="2"/>
      <c r="F156" s="2"/>
      <c r="G156" s="2"/>
      <c r="H156" s="2"/>
      <c r="I156" s="2"/>
      <c r="J156" s="2"/>
    </row>
    <row r="157" spans="1:10" x14ac:dyDescent="0.2">
      <c r="A157" s="2"/>
      <c r="B157" s="2"/>
      <c r="C157" s="2"/>
      <c r="D157" s="2"/>
      <c r="E157" s="2"/>
      <c r="F157" s="2"/>
      <c r="G157" s="2"/>
      <c r="H157" s="2"/>
      <c r="I157" s="2"/>
      <c r="J157" s="2"/>
    </row>
    <row r="158" spans="1:10" x14ac:dyDescent="0.2">
      <c r="A158" s="2"/>
      <c r="B158" s="2"/>
      <c r="C158" s="2"/>
      <c r="D158" s="2"/>
      <c r="E158" s="2"/>
      <c r="F158" s="2"/>
      <c r="G158" s="2"/>
      <c r="H158" s="2"/>
      <c r="I158" s="2"/>
      <c r="J158" s="2"/>
    </row>
    <row r="159" spans="1:10" x14ac:dyDescent="0.2">
      <c r="A159" s="2"/>
      <c r="B159" s="2"/>
      <c r="C159" s="2"/>
      <c r="D159" s="2"/>
      <c r="E159" s="2"/>
      <c r="F159" s="2"/>
      <c r="G159" s="2"/>
      <c r="H159" s="2"/>
      <c r="I159" s="2"/>
      <c r="J159" s="2"/>
    </row>
    <row r="160" spans="1:10" x14ac:dyDescent="0.2">
      <c r="A160" s="2"/>
      <c r="B160" s="2"/>
      <c r="C160" s="2"/>
      <c r="D160" s="2"/>
      <c r="E160" s="2"/>
      <c r="F160" s="2"/>
      <c r="G160" s="2"/>
      <c r="H160" s="2"/>
      <c r="I160" s="2"/>
      <c r="J160" s="2"/>
    </row>
    <row r="161" spans="1:10" x14ac:dyDescent="0.2">
      <c r="A161" s="2"/>
      <c r="B161" s="2"/>
      <c r="C161" s="2"/>
      <c r="D161" s="2"/>
      <c r="E161" s="2"/>
      <c r="F161" s="2"/>
      <c r="G161" s="2"/>
      <c r="H161" s="2"/>
      <c r="I161" s="2"/>
      <c r="J161" s="2"/>
    </row>
    <row r="162" spans="1:10" x14ac:dyDescent="0.2">
      <c r="A162" s="2"/>
      <c r="B162" s="2"/>
      <c r="C162" s="2"/>
      <c r="D162" s="2"/>
      <c r="E162" s="2"/>
      <c r="F162" s="2"/>
      <c r="G162" s="2"/>
      <c r="H162" s="2"/>
      <c r="I162" s="2"/>
      <c r="J162" s="2"/>
    </row>
    <row r="163" spans="1:10" x14ac:dyDescent="0.2">
      <c r="A163" s="2"/>
      <c r="B163" s="2"/>
      <c r="C163" s="2"/>
      <c r="D163" s="2"/>
      <c r="E163" s="2"/>
      <c r="F163" s="2"/>
      <c r="G163" s="2"/>
      <c r="H163" s="2"/>
      <c r="I163" s="2"/>
      <c r="J163" s="2"/>
    </row>
    <row r="164" spans="1:10" x14ac:dyDescent="0.2">
      <c r="A164" s="2"/>
      <c r="B164" s="2"/>
      <c r="C164" s="2"/>
      <c r="D164" s="2"/>
      <c r="E164" s="2"/>
      <c r="F164" s="2"/>
      <c r="G164" s="2"/>
      <c r="H164" s="2"/>
      <c r="I164" s="2"/>
      <c r="J164" s="2"/>
    </row>
    <row r="165" spans="1:10" x14ac:dyDescent="0.2">
      <c r="A165" s="2"/>
      <c r="B165" s="2"/>
      <c r="C165" s="2"/>
      <c r="D165" s="2"/>
      <c r="E165" s="2"/>
      <c r="F165" s="2"/>
      <c r="G165" s="2"/>
      <c r="H165" s="2"/>
      <c r="I165" s="2"/>
      <c r="J165" s="2"/>
    </row>
    <row r="166" spans="1:10" x14ac:dyDescent="0.2">
      <c r="A166" s="2"/>
      <c r="B166" s="2"/>
      <c r="C166" s="2"/>
      <c r="D166" s="2"/>
      <c r="E166" s="2"/>
      <c r="F166" s="2"/>
      <c r="G166" s="2"/>
      <c r="H166" s="2"/>
      <c r="I166" s="2"/>
      <c r="J166" s="2"/>
    </row>
    <row r="167" spans="1:10" x14ac:dyDescent="0.2">
      <c r="A167" s="2"/>
      <c r="B167" s="2"/>
      <c r="C167" s="2"/>
      <c r="D167" s="2"/>
      <c r="E167" s="2"/>
      <c r="F167" s="2"/>
      <c r="G167" s="2"/>
      <c r="H167" s="2"/>
      <c r="I167" s="2"/>
      <c r="J167" s="2"/>
    </row>
    <row r="168" spans="1:10" x14ac:dyDescent="0.2">
      <c r="A168" s="2"/>
      <c r="B168" s="2"/>
      <c r="C168" s="2"/>
      <c r="D168" s="2"/>
      <c r="E168" s="2"/>
      <c r="F168" s="2"/>
      <c r="G168" s="2"/>
      <c r="H168" s="2"/>
      <c r="I168" s="2"/>
      <c r="J168" s="2"/>
    </row>
    <row r="169" spans="1:10" x14ac:dyDescent="0.2">
      <c r="A169" s="2"/>
      <c r="B169" s="2"/>
      <c r="C169" s="2"/>
      <c r="D169" s="2"/>
      <c r="E169" s="2"/>
      <c r="F169" s="2"/>
      <c r="G169" s="2"/>
      <c r="H169" s="2"/>
      <c r="I169" s="2"/>
      <c r="J169" s="2"/>
    </row>
    <row r="170" spans="1:10" x14ac:dyDescent="0.2">
      <c r="A170" s="2"/>
      <c r="B170" s="2"/>
      <c r="C170" s="2"/>
      <c r="D170" s="2"/>
      <c r="E170" s="2"/>
      <c r="F170" s="2"/>
      <c r="G170" s="2"/>
      <c r="H170" s="2"/>
      <c r="I170" s="2"/>
      <c r="J170" s="2"/>
    </row>
    <row r="171" spans="1:10" x14ac:dyDescent="0.2">
      <c r="A171" s="2"/>
      <c r="B171" s="2"/>
      <c r="C171" s="2"/>
      <c r="D171" s="2"/>
      <c r="E171" s="2"/>
      <c r="F171" s="2"/>
      <c r="G171" s="2"/>
      <c r="H171" s="2"/>
      <c r="I171" s="2"/>
      <c r="J171" s="2"/>
    </row>
    <row r="172" spans="1:10" x14ac:dyDescent="0.2">
      <c r="A172" s="2"/>
      <c r="B172" s="2"/>
      <c r="C172" s="2"/>
      <c r="D172" s="2"/>
      <c r="E172" s="2"/>
      <c r="F172" s="2"/>
      <c r="G172" s="2"/>
      <c r="H172" s="2"/>
      <c r="I172" s="2"/>
      <c r="J172" s="2"/>
    </row>
    <row r="173" spans="1:10" x14ac:dyDescent="0.2">
      <c r="A173" s="2"/>
      <c r="B173" s="2"/>
      <c r="C173" s="2"/>
      <c r="D173" s="2"/>
      <c r="E173" s="2"/>
      <c r="F173" s="2"/>
      <c r="G173" s="2"/>
      <c r="H173" s="2"/>
      <c r="I173" s="2"/>
      <c r="J173" s="2"/>
    </row>
    <row r="174" spans="1:10" x14ac:dyDescent="0.2">
      <c r="A174" s="2"/>
      <c r="B174" s="2"/>
      <c r="C174" s="2"/>
      <c r="D174" s="2"/>
      <c r="E174" s="2"/>
      <c r="F174" s="2"/>
      <c r="G174" s="2"/>
      <c r="H174" s="2"/>
      <c r="I174" s="2"/>
      <c r="J174" s="2"/>
    </row>
    <row r="175" spans="1:10" x14ac:dyDescent="0.2">
      <c r="A175" s="2"/>
      <c r="B175" s="2"/>
      <c r="C175" s="2"/>
      <c r="D175" s="2"/>
      <c r="E175" s="2"/>
      <c r="F175" s="2"/>
      <c r="G175" s="2"/>
      <c r="H175" s="2"/>
      <c r="I175" s="2"/>
      <c r="J175" s="2"/>
    </row>
    <row r="176" spans="1:10" x14ac:dyDescent="0.2">
      <c r="A176" s="2"/>
      <c r="B176" s="2"/>
      <c r="C176" s="2"/>
      <c r="D176" s="2"/>
      <c r="E176" s="2"/>
      <c r="F176" s="2"/>
      <c r="G176" s="2"/>
      <c r="H176" s="2"/>
      <c r="I176" s="2"/>
      <c r="J176" s="2"/>
    </row>
    <row r="177" spans="1:10" x14ac:dyDescent="0.2">
      <c r="A177" s="2"/>
      <c r="B177" s="2"/>
      <c r="C177" s="2"/>
      <c r="D177" s="2"/>
      <c r="E177" s="2"/>
      <c r="F177" s="2"/>
      <c r="G177" s="2"/>
      <c r="H177" s="2"/>
      <c r="I177" s="2"/>
      <c r="J177" s="2"/>
    </row>
    <row r="178" spans="1:10" x14ac:dyDescent="0.2">
      <c r="A178" s="2"/>
      <c r="B178" s="2"/>
      <c r="C178" s="2"/>
      <c r="D178" s="2"/>
      <c r="E178" s="2"/>
      <c r="F178" s="2"/>
      <c r="G178" s="2"/>
      <c r="H178" s="2"/>
      <c r="I178" s="2"/>
      <c r="J178" s="2"/>
    </row>
    <row r="179" spans="1:10" x14ac:dyDescent="0.2">
      <c r="A179" s="2"/>
      <c r="B179" s="2"/>
      <c r="C179" s="2"/>
      <c r="D179" s="2"/>
      <c r="E179" s="2"/>
      <c r="F179" s="2"/>
      <c r="G179" s="2"/>
      <c r="H179" s="2"/>
      <c r="I179" s="2"/>
      <c r="J179" s="2"/>
    </row>
    <row r="180" spans="1:10" x14ac:dyDescent="0.2">
      <c r="A180" s="2"/>
      <c r="B180" s="2"/>
      <c r="C180" s="2"/>
      <c r="D180" s="2"/>
      <c r="E180" s="2"/>
      <c r="F180" s="2"/>
      <c r="G180" s="2"/>
      <c r="H180" s="2"/>
      <c r="I180" s="2"/>
      <c r="J180" s="2"/>
    </row>
    <row r="181" spans="1:10" x14ac:dyDescent="0.2">
      <c r="A181" s="2"/>
      <c r="B181" s="2"/>
      <c r="C181" s="2"/>
      <c r="D181" s="2"/>
      <c r="E181" s="2"/>
      <c r="F181" s="2"/>
      <c r="G181" s="2"/>
      <c r="H181" s="2"/>
      <c r="I181" s="2"/>
      <c r="J181" s="2"/>
    </row>
    <row r="182" spans="1:10" x14ac:dyDescent="0.2">
      <c r="A182" s="2"/>
      <c r="B182" s="2"/>
      <c r="C182" s="2"/>
      <c r="D182" s="2"/>
      <c r="E182" s="2"/>
      <c r="F182" s="2"/>
      <c r="G182" s="2"/>
      <c r="H182" s="2"/>
      <c r="I182" s="2"/>
      <c r="J182" s="2"/>
    </row>
    <row r="183" spans="1:10" x14ac:dyDescent="0.2">
      <c r="A183" s="2"/>
      <c r="B183" s="2"/>
      <c r="C183" s="2"/>
      <c r="D183" s="2"/>
      <c r="E183" s="2"/>
      <c r="F183" s="2"/>
      <c r="G183" s="2"/>
      <c r="H183" s="2"/>
      <c r="I183" s="2"/>
      <c r="J183" s="2"/>
    </row>
    <row r="184" spans="1:10" x14ac:dyDescent="0.2">
      <c r="A184" s="2"/>
      <c r="B184" s="2"/>
      <c r="C184" s="2"/>
      <c r="D184" s="2"/>
      <c r="E184" s="2"/>
      <c r="F184" s="2"/>
      <c r="G184" s="2"/>
      <c r="H184" s="2"/>
      <c r="I184" s="2"/>
      <c r="J184" s="2"/>
    </row>
    <row r="185" spans="1:10" x14ac:dyDescent="0.2">
      <c r="A185" s="2"/>
      <c r="B185" s="2"/>
      <c r="C185" s="2"/>
      <c r="D185" s="2"/>
      <c r="E185" s="2"/>
      <c r="F185" s="2"/>
      <c r="G185" s="2"/>
      <c r="H185" s="2"/>
      <c r="I185" s="2"/>
      <c r="J185" s="2"/>
    </row>
    <row r="186" spans="1:10" x14ac:dyDescent="0.2">
      <c r="A186" s="2"/>
      <c r="B186" s="2"/>
      <c r="C186" s="2"/>
      <c r="D186" s="2"/>
      <c r="E186" s="2"/>
      <c r="F186" s="2"/>
      <c r="G186" s="2"/>
      <c r="H186" s="2"/>
      <c r="I186" s="2"/>
      <c r="J186" s="2"/>
    </row>
    <row r="187" spans="1:10" x14ac:dyDescent="0.2">
      <c r="A187" s="2"/>
      <c r="B187" s="2"/>
      <c r="C187" s="2"/>
      <c r="D187" s="2"/>
      <c r="E187" s="2"/>
      <c r="F187" s="2"/>
      <c r="G187" s="2"/>
      <c r="H187" s="2"/>
      <c r="I187" s="2"/>
      <c r="J187" s="2"/>
    </row>
    <row r="188" spans="1:10" x14ac:dyDescent="0.2">
      <c r="A188" s="2"/>
      <c r="B188" s="2"/>
      <c r="C188" s="2"/>
      <c r="D188" s="2"/>
      <c r="E188" s="2"/>
      <c r="F188" s="2"/>
      <c r="G188" s="2"/>
      <c r="H188" s="2"/>
      <c r="I188" s="2"/>
      <c r="J188" s="2"/>
    </row>
    <row r="189" spans="1:10" x14ac:dyDescent="0.2">
      <c r="A189" s="2"/>
      <c r="B189" s="2"/>
      <c r="C189" s="2"/>
      <c r="D189" s="2"/>
      <c r="E189" s="2"/>
      <c r="F189" s="2"/>
      <c r="G189" s="2"/>
      <c r="H189" s="2"/>
      <c r="I189" s="2"/>
      <c r="J189" s="2"/>
    </row>
    <row r="190" spans="1:10" x14ac:dyDescent="0.2">
      <c r="A190" s="2"/>
      <c r="B190" s="2"/>
      <c r="C190" s="2"/>
      <c r="D190" s="2"/>
      <c r="E190" s="2"/>
      <c r="F190" s="2"/>
      <c r="G190" s="2"/>
      <c r="H190" s="2"/>
      <c r="I190" s="2"/>
      <c r="J190" s="2"/>
    </row>
    <row r="191" spans="1:10" x14ac:dyDescent="0.2">
      <c r="A191" s="2"/>
      <c r="B191" s="2"/>
      <c r="C191" s="2"/>
      <c r="D191" s="2"/>
      <c r="E191" s="2"/>
      <c r="F191" s="2"/>
      <c r="G191" s="2"/>
      <c r="H191" s="2"/>
      <c r="I191" s="2"/>
      <c r="J191" s="2"/>
    </row>
    <row r="192" spans="1:10" x14ac:dyDescent="0.2">
      <c r="A192" s="2"/>
      <c r="B192" s="2"/>
      <c r="C192" s="2"/>
      <c r="D192" s="2"/>
      <c r="E192" s="2"/>
      <c r="F192" s="2"/>
      <c r="G192" s="2"/>
      <c r="H192" s="2"/>
      <c r="I192" s="2"/>
      <c r="J192" s="2"/>
    </row>
    <row r="193" spans="1:10" x14ac:dyDescent="0.2">
      <c r="A193" s="2"/>
      <c r="B193" s="2"/>
      <c r="C193" s="2"/>
      <c r="D193" s="2"/>
      <c r="E193" s="2"/>
      <c r="F193" s="2"/>
      <c r="G193" s="2"/>
      <c r="H193" s="2"/>
      <c r="I193" s="2"/>
      <c r="J193" s="2"/>
    </row>
    <row r="194" spans="1:10" x14ac:dyDescent="0.2">
      <c r="A194" s="2"/>
      <c r="B194" s="2"/>
      <c r="C194" s="2"/>
      <c r="D194" s="2"/>
      <c r="E194" s="2"/>
      <c r="F194" s="2"/>
      <c r="G194" s="2"/>
      <c r="H194" s="2"/>
      <c r="I194" s="2"/>
      <c r="J194" s="2"/>
    </row>
    <row r="195" spans="1:10" x14ac:dyDescent="0.2">
      <c r="A195" s="2"/>
      <c r="B195" s="2"/>
      <c r="C195" s="2"/>
      <c r="D195" s="2"/>
      <c r="E195" s="2"/>
      <c r="F195" s="2"/>
      <c r="G195" s="2"/>
      <c r="H195" s="2"/>
      <c r="I195" s="2"/>
      <c r="J195" s="2"/>
    </row>
    <row r="196" spans="1:10" x14ac:dyDescent="0.2">
      <c r="A196" s="2"/>
      <c r="B196" s="2"/>
      <c r="C196" s="2"/>
      <c r="D196" s="2"/>
      <c r="E196" s="2"/>
      <c r="F196" s="2"/>
      <c r="G196" s="2"/>
      <c r="H196" s="2"/>
      <c r="I196" s="2"/>
      <c r="J196" s="2"/>
    </row>
    <row r="197" spans="1:10" x14ac:dyDescent="0.2">
      <c r="A197" s="2"/>
      <c r="B197" s="2"/>
      <c r="C197" s="2"/>
      <c r="D197" s="2"/>
      <c r="E197" s="2"/>
      <c r="F197" s="2"/>
      <c r="G197" s="2"/>
      <c r="H197" s="2"/>
      <c r="I197" s="2"/>
      <c r="J197" s="2"/>
    </row>
    <row r="198" spans="1:10" x14ac:dyDescent="0.2">
      <c r="A198" s="2"/>
      <c r="B198" s="2"/>
      <c r="C198" s="2"/>
      <c r="D198" s="2"/>
      <c r="E198" s="2"/>
      <c r="F198" s="2"/>
      <c r="G198" s="2"/>
      <c r="H198" s="2"/>
      <c r="I198" s="2"/>
      <c r="J198" s="2"/>
    </row>
    <row r="199" spans="1:10" x14ac:dyDescent="0.2">
      <c r="A199" s="2"/>
      <c r="B199" s="2"/>
      <c r="C199" s="2"/>
      <c r="D199" s="2"/>
      <c r="E199" s="2"/>
      <c r="F199" s="2"/>
      <c r="G199" s="2"/>
      <c r="H199" s="2"/>
      <c r="I199" s="2"/>
      <c r="J199" s="2"/>
    </row>
    <row r="200" spans="1:10" x14ac:dyDescent="0.2">
      <c r="A200" s="2"/>
      <c r="B200" s="2"/>
      <c r="C200" s="2"/>
      <c r="D200" s="2"/>
      <c r="E200" s="2"/>
      <c r="F200" s="2"/>
      <c r="G200" s="2"/>
      <c r="H200" s="2"/>
      <c r="I200" s="2"/>
      <c r="J200" s="2"/>
    </row>
    <row r="201" spans="1:10" x14ac:dyDescent="0.2">
      <c r="A201" s="2"/>
      <c r="B201" s="2"/>
      <c r="C201" s="2"/>
      <c r="D201" s="2"/>
      <c r="E201" s="2"/>
      <c r="F201" s="2"/>
      <c r="G201" s="2"/>
      <c r="H201" s="2"/>
      <c r="I201" s="2"/>
      <c r="J201" s="2"/>
    </row>
    <row r="202" spans="1:10" x14ac:dyDescent="0.2">
      <c r="A202" s="2"/>
      <c r="B202" s="2"/>
      <c r="C202" s="2"/>
      <c r="D202" s="2"/>
      <c r="E202" s="2"/>
      <c r="F202" s="2"/>
      <c r="G202" s="2"/>
      <c r="H202" s="2"/>
      <c r="I202" s="2"/>
      <c r="J202" s="2"/>
    </row>
    <row r="203" spans="1:10" x14ac:dyDescent="0.2">
      <c r="A203" s="2"/>
      <c r="B203" s="2"/>
      <c r="C203" s="2"/>
      <c r="D203" s="2"/>
      <c r="E203" s="2"/>
      <c r="F203" s="2"/>
      <c r="G203" s="2"/>
      <c r="H203" s="2"/>
      <c r="I203" s="2"/>
      <c r="J203" s="2"/>
    </row>
    <row r="204" spans="1:10" x14ac:dyDescent="0.2">
      <c r="A204" s="2"/>
      <c r="B204" s="2"/>
      <c r="C204" s="2"/>
      <c r="D204" s="2"/>
      <c r="E204" s="2"/>
      <c r="F204" s="2"/>
      <c r="G204" s="2"/>
      <c r="H204" s="2"/>
      <c r="I204" s="2"/>
      <c r="J204" s="2"/>
    </row>
    <row r="205" spans="1:10" x14ac:dyDescent="0.2">
      <c r="A205" s="2"/>
      <c r="B205" s="2"/>
      <c r="C205" s="2"/>
      <c r="D205" s="2"/>
      <c r="E205" s="2"/>
      <c r="F205" s="2"/>
      <c r="G205" s="2"/>
      <c r="H205" s="2"/>
      <c r="I205" s="2"/>
      <c r="J205" s="2"/>
    </row>
    <row r="206" spans="1:10" x14ac:dyDescent="0.2">
      <c r="A206" s="2"/>
      <c r="B206" s="2"/>
      <c r="C206" s="2"/>
      <c r="D206" s="2"/>
      <c r="E206" s="2"/>
      <c r="F206" s="2"/>
      <c r="G206" s="2"/>
      <c r="H206" s="2"/>
      <c r="I206" s="2"/>
      <c r="J206" s="2"/>
    </row>
    <row r="207" spans="1:10" x14ac:dyDescent="0.2">
      <c r="A207" s="2"/>
      <c r="B207" s="2"/>
      <c r="C207" s="2"/>
      <c r="D207" s="2"/>
      <c r="E207" s="2"/>
      <c r="F207" s="2"/>
      <c r="G207" s="2"/>
      <c r="H207" s="2"/>
      <c r="I207" s="2"/>
      <c r="J207" s="2"/>
    </row>
    <row r="208" spans="1:10" x14ac:dyDescent="0.2">
      <c r="A208" s="2"/>
      <c r="B208" s="2"/>
      <c r="C208" s="2"/>
      <c r="D208" s="2"/>
      <c r="E208" s="2"/>
      <c r="F208" s="2"/>
      <c r="G208" s="2"/>
      <c r="H208" s="2"/>
      <c r="I208" s="2"/>
      <c r="J208" s="2"/>
    </row>
    <row r="209" spans="1:10" x14ac:dyDescent="0.2">
      <c r="A209" s="2"/>
      <c r="B209" s="2"/>
      <c r="C209" s="2"/>
      <c r="D209" s="2"/>
      <c r="E209" s="2"/>
      <c r="F209" s="2"/>
      <c r="G209" s="2"/>
      <c r="H209" s="2"/>
      <c r="I209" s="2"/>
      <c r="J209" s="2"/>
    </row>
    <row r="210" spans="1:10" x14ac:dyDescent="0.2">
      <c r="A210" s="2"/>
      <c r="B210" s="2"/>
      <c r="C210" s="2"/>
      <c r="D210" s="2"/>
      <c r="E210" s="2"/>
      <c r="F210" s="2"/>
      <c r="G210" s="2"/>
      <c r="H210" s="2"/>
      <c r="I210" s="2"/>
      <c r="J210" s="2"/>
    </row>
    <row r="211" spans="1:10" x14ac:dyDescent="0.2">
      <c r="A211" s="2"/>
      <c r="B211" s="2"/>
      <c r="C211" s="2"/>
      <c r="D211" s="2"/>
      <c r="E211" s="2"/>
      <c r="F211" s="2"/>
      <c r="G211" s="2"/>
      <c r="H211" s="2"/>
      <c r="I211" s="2"/>
      <c r="J211" s="2"/>
    </row>
    <row r="212" spans="1:10" x14ac:dyDescent="0.2">
      <c r="A212" s="2"/>
      <c r="B212" s="2"/>
      <c r="C212" s="2"/>
      <c r="D212" s="2"/>
      <c r="E212" s="2"/>
      <c r="F212" s="2"/>
      <c r="G212" s="2"/>
      <c r="H212" s="2"/>
      <c r="I212" s="2"/>
      <c r="J212" s="2"/>
    </row>
    <row r="213" spans="1:10" x14ac:dyDescent="0.2">
      <c r="A213" s="2"/>
      <c r="B213" s="2"/>
      <c r="C213" s="2"/>
      <c r="D213" s="2"/>
      <c r="E213" s="2"/>
      <c r="F213" s="2"/>
      <c r="G213" s="2"/>
      <c r="H213" s="2"/>
      <c r="I213" s="2"/>
      <c r="J213" s="2"/>
    </row>
    <row r="214" spans="1:10" x14ac:dyDescent="0.2">
      <c r="A214" s="2"/>
      <c r="B214" s="2"/>
      <c r="C214" s="2"/>
      <c r="D214" s="2"/>
      <c r="E214" s="2"/>
      <c r="F214" s="2"/>
      <c r="G214" s="2"/>
      <c r="H214" s="2"/>
      <c r="I214" s="2"/>
      <c r="J214" s="2"/>
    </row>
    <row r="215" spans="1:10" x14ac:dyDescent="0.2">
      <c r="A215" s="2"/>
      <c r="B215" s="2"/>
      <c r="C215" s="2"/>
      <c r="D215" s="2"/>
      <c r="E215" s="2"/>
      <c r="F215" s="2"/>
      <c r="G215" s="2"/>
      <c r="H215" s="2"/>
      <c r="I215" s="2"/>
      <c r="J215" s="2"/>
    </row>
    <row r="216" spans="1:10" x14ac:dyDescent="0.2">
      <c r="A216" s="2"/>
      <c r="B216" s="2"/>
      <c r="C216" s="2"/>
      <c r="D216" s="2"/>
      <c r="E216" s="2"/>
      <c r="F216" s="2"/>
      <c r="G216" s="2"/>
      <c r="H216" s="2"/>
      <c r="I216" s="2"/>
      <c r="J216" s="2"/>
    </row>
    <row r="217" spans="1:10" x14ac:dyDescent="0.2">
      <c r="A217" s="2"/>
      <c r="B217" s="2"/>
      <c r="C217" s="2"/>
      <c r="D217" s="2"/>
      <c r="E217" s="2"/>
      <c r="F217" s="2"/>
      <c r="G217" s="2"/>
      <c r="H217" s="2"/>
      <c r="I217" s="2"/>
      <c r="J217" s="2"/>
    </row>
    <row r="218" spans="1:10" x14ac:dyDescent="0.2">
      <c r="A218" s="2"/>
      <c r="B218" s="2"/>
      <c r="C218" s="2"/>
      <c r="D218" s="2"/>
      <c r="E218" s="2"/>
      <c r="F218" s="2"/>
      <c r="G218" s="2"/>
      <c r="H218" s="2"/>
      <c r="I218" s="2"/>
      <c r="J218" s="2"/>
    </row>
    <row r="219" spans="1:10" x14ac:dyDescent="0.2">
      <c r="A219" s="2"/>
      <c r="B219" s="2"/>
      <c r="C219" s="2"/>
      <c r="D219" s="2"/>
      <c r="E219" s="2"/>
      <c r="F219" s="2"/>
      <c r="G219" s="2"/>
      <c r="H219" s="2"/>
      <c r="I219" s="2"/>
      <c r="J219" s="2"/>
    </row>
    <row r="220" spans="1:10" x14ac:dyDescent="0.2">
      <c r="A220" s="2"/>
      <c r="B220" s="2"/>
      <c r="C220" s="2"/>
      <c r="D220" s="2"/>
      <c r="E220" s="2"/>
      <c r="F220" s="2"/>
      <c r="G220" s="2"/>
      <c r="H220" s="2"/>
      <c r="I220" s="2"/>
      <c r="J220" s="2"/>
    </row>
    <row r="221" spans="1:10" x14ac:dyDescent="0.2">
      <c r="A221" s="2"/>
      <c r="B221" s="2"/>
      <c r="C221" s="2"/>
      <c r="D221" s="2"/>
      <c r="E221" s="2"/>
      <c r="F221" s="2"/>
      <c r="G221" s="2"/>
      <c r="H221" s="2"/>
      <c r="I221" s="2"/>
      <c r="J221" s="2"/>
    </row>
    <row r="222" spans="1:10" x14ac:dyDescent="0.2">
      <c r="A222" s="2"/>
      <c r="B222" s="2"/>
      <c r="C222" s="2"/>
      <c r="D222" s="2"/>
      <c r="E222" s="2"/>
      <c r="F222" s="2"/>
      <c r="G222" s="2"/>
      <c r="H222" s="2"/>
      <c r="I222" s="2"/>
      <c r="J222" s="2"/>
    </row>
    <row r="223" spans="1:10" x14ac:dyDescent="0.2">
      <c r="A223" s="2"/>
      <c r="B223" s="2"/>
      <c r="C223" s="2"/>
      <c r="D223" s="2"/>
      <c r="E223" s="2"/>
      <c r="F223" s="2"/>
      <c r="G223" s="2"/>
      <c r="H223" s="2"/>
      <c r="I223" s="2"/>
      <c r="J223" s="2"/>
    </row>
    <row r="224" spans="1:10" x14ac:dyDescent="0.2">
      <c r="A224" s="2"/>
      <c r="B224" s="2"/>
      <c r="C224" s="2"/>
      <c r="D224" s="2"/>
      <c r="E224" s="2"/>
      <c r="F224" s="2"/>
      <c r="G224" s="2"/>
      <c r="H224" s="2"/>
      <c r="I224" s="2"/>
      <c r="J224" s="2"/>
    </row>
    <row r="225" spans="1:10" x14ac:dyDescent="0.2">
      <c r="A225" s="2"/>
      <c r="B225" s="2"/>
      <c r="C225" s="2"/>
      <c r="D225" s="2"/>
      <c r="E225" s="2"/>
      <c r="F225" s="2"/>
      <c r="G225" s="2"/>
      <c r="H225" s="2"/>
      <c r="I225" s="2"/>
      <c r="J225" s="2"/>
    </row>
    <row r="226" spans="1:10" x14ac:dyDescent="0.2">
      <c r="A226" s="2"/>
      <c r="B226" s="2"/>
      <c r="C226" s="2"/>
      <c r="D226" s="2"/>
      <c r="E226" s="2"/>
      <c r="F226" s="2"/>
      <c r="G226" s="2"/>
      <c r="H226" s="2"/>
      <c r="I226" s="2"/>
      <c r="J226" s="2"/>
    </row>
    <row r="227" spans="1:10" x14ac:dyDescent="0.2">
      <c r="A227" s="2"/>
      <c r="B227" s="2"/>
      <c r="C227" s="2"/>
      <c r="D227" s="2"/>
      <c r="E227" s="2"/>
      <c r="F227" s="2"/>
      <c r="G227" s="2"/>
      <c r="H227" s="2"/>
      <c r="I227" s="2"/>
      <c r="J227" s="2"/>
    </row>
    <row r="228" spans="1:10" x14ac:dyDescent="0.2">
      <c r="A228" s="2"/>
      <c r="B228" s="2"/>
      <c r="C228" s="2"/>
      <c r="D228" s="2"/>
      <c r="E228" s="2"/>
      <c r="F228" s="2"/>
      <c r="G228" s="2"/>
      <c r="H228" s="2"/>
      <c r="I228" s="2"/>
      <c r="J228" s="2"/>
    </row>
    <row r="229" spans="1:10" x14ac:dyDescent="0.2">
      <c r="A229" s="2"/>
      <c r="B229" s="2"/>
      <c r="C229" s="2"/>
      <c r="D229" s="2"/>
      <c r="E229" s="2"/>
      <c r="F229" s="2"/>
      <c r="G229" s="2"/>
      <c r="H229" s="2"/>
      <c r="I229" s="2"/>
      <c r="J229" s="2"/>
    </row>
    <row r="230" spans="1:10" x14ac:dyDescent="0.2">
      <c r="A230" s="2"/>
      <c r="B230" s="2"/>
      <c r="C230" s="2"/>
      <c r="D230" s="2"/>
      <c r="E230" s="2"/>
      <c r="F230" s="2"/>
      <c r="G230" s="2"/>
      <c r="H230" s="2"/>
      <c r="I230" s="2"/>
      <c r="J230" s="2"/>
    </row>
    <row r="231" spans="1:10" x14ac:dyDescent="0.2">
      <c r="A231" s="2"/>
      <c r="B231" s="2"/>
      <c r="C231" s="2"/>
      <c r="D231" s="2"/>
      <c r="E231" s="2"/>
      <c r="F231" s="2"/>
      <c r="G231" s="2"/>
      <c r="H231" s="2"/>
      <c r="I231" s="2"/>
      <c r="J231" s="2"/>
    </row>
    <row r="232" spans="1:10" x14ac:dyDescent="0.2">
      <c r="A232" s="2"/>
      <c r="B232" s="2"/>
      <c r="C232" s="2"/>
      <c r="D232" s="2"/>
      <c r="E232" s="2"/>
      <c r="F232" s="2"/>
      <c r="G232" s="2"/>
      <c r="H232" s="2"/>
      <c r="I232" s="2"/>
      <c r="J232" s="2"/>
    </row>
    <row r="233" spans="1:10" x14ac:dyDescent="0.2">
      <c r="A233" s="2"/>
      <c r="B233" s="2"/>
      <c r="C233" s="2"/>
      <c r="D233" s="2"/>
      <c r="E233" s="2"/>
      <c r="F233" s="2"/>
      <c r="G233" s="2"/>
      <c r="H233" s="2"/>
      <c r="I233" s="2"/>
      <c r="J233" s="2"/>
    </row>
    <row r="234" spans="1:10" x14ac:dyDescent="0.2">
      <c r="A234" s="2"/>
      <c r="B234" s="2"/>
      <c r="C234" s="2"/>
      <c r="D234" s="2"/>
      <c r="E234" s="2"/>
      <c r="F234" s="2"/>
      <c r="G234" s="2"/>
      <c r="H234" s="2"/>
      <c r="I234" s="2"/>
      <c r="J234" s="2"/>
    </row>
    <row r="235" spans="1:10" x14ac:dyDescent="0.2">
      <c r="A235" s="2"/>
      <c r="B235" s="2"/>
      <c r="C235" s="2"/>
      <c r="D235" s="2"/>
      <c r="E235" s="2"/>
      <c r="F235" s="2"/>
      <c r="G235" s="2"/>
      <c r="H235" s="2"/>
      <c r="I235" s="2"/>
      <c r="J235" s="2"/>
    </row>
    <row r="236" spans="1:10" x14ac:dyDescent="0.2">
      <c r="A236" s="2"/>
      <c r="B236" s="2"/>
      <c r="C236" s="2"/>
      <c r="D236" s="2"/>
      <c r="E236" s="2"/>
      <c r="F236" s="2"/>
      <c r="G236" s="2"/>
      <c r="H236" s="2"/>
      <c r="I236" s="2"/>
      <c r="J236" s="2"/>
    </row>
    <row r="237" spans="1:10" x14ac:dyDescent="0.2">
      <c r="A237" s="2"/>
      <c r="B237" s="2"/>
      <c r="C237" s="2"/>
      <c r="D237" s="2"/>
      <c r="E237" s="2"/>
      <c r="F237" s="2"/>
      <c r="G237" s="2"/>
      <c r="H237" s="2"/>
      <c r="I237" s="2"/>
      <c r="J237" s="2"/>
    </row>
    <row r="238" spans="1:10" x14ac:dyDescent="0.2">
      <c r="A238" s="2"/>
      <c r="B238" s="2"/>
      <c r="C238" s="2"/>
      <c r="D238" s="2"/>
      <c r="E238" s="2"/>
      <c r="F238" s="2"/>
      <c r="G238" s="2"/>
      <c r="H238" s="2"/>
      <c r="I238" s="2"/>
      <c r="J238" s="2"/>
    </row>
    <row r="239" spans="1:10" x14ac:dyDescent="0.2">
      <c r="A239" s="2"/>
      <c r="B239" s="2"/>
      <c r="C239" s="2"/>
      <c r="D239" s="2"/>
      <c r="E239" s="2"/>
      <c r="F239" s="2"/>
      <c r="G239" s="2"/>
      <c r="H239" s="2"/>
      <c r="I239" s="2"/>
      <c r="J239" s="2"/>
    </row>
    <row r="240" spans="1:10" x14ac:dyDescent="0.2">
      <c r="A240" s="2"/>
      <c r="B240" s="2"/>
      <c r="C240" s="2"/>
      <c r="D240" s="2"/>
      <c r="E240" s="2"/>
      <c r="F240" s="2"/>
      <c r="G240" s="2"/>
      <c r="H240" s="2"/>
      <c r="I240" s="2"/>
      <c r="J240" s="2"/>
    </row>
    <row r="241" spans="1:10" x14ac:dyDescent="0.2">
      <c r="A241" s="2"/>
      <c r="B241" s="2"/>
      <c r="C241" s="2"/>
      <c r="D241" s="2"/>
      <c r="E241" s="2"/>
      <c r="F241" s="2"/>
      <c r="G241" s="2"/>
      <c r="H241" s="2"/>
      <c r="I241" s="2"/>
      <c r="J241" s="2"/>
    </row>
    <row r="242" spans="1:10" x14ac:dyDescent="0.2">
      <c r="A242" s="2"/>
      <c r="B242" s="2"/>
      <c r="C242" s="2"/>
      <c r="D242" s="2"/>
      <c r="E242" s="2"/>
      <c r="F242" s="2"/>
      <c r="G242" s="2"/>
      <c r="H242" s="2"/>
      <c r="I242" s="2"/>
      <c r="J242" s="2"/>
    </row>
    <row r="243" spans="1:10" x14ac:dyDescent="0.2">
      <c r="A243" s="2"/>
      <c r="B243" s="2"/>
      <c r="C243" s="2"/>
      <c r="D243" s="2"/>
      <c r="E243" s="2"/>
      <c r="F243" s="2"/>
      <c r="G243" s="2"/>
      <c r="H243" s="2"/>
      <c r="I243" s="2"/>
      <c r="J243" s="2"/>
    </row>
    <row r="244" spans="1:10" x14ac:dyDescent="0.2">
      <c r="A244" s="2"/>
      <c r="B244" s="2"/>
      <c r="C244" s="2"/>
      <c r="D244" s="2"/>
      <c r="E244" s="2"/>
      <c r="F244" s="2"/>
      <c r="G244" s="2"/>
      <c r="H244" s="2"/>
      <c r="I244" s="2"/>
      <c r="J244" s="2"/>
    </row>
    <row r="245" spans="1:10" x14ac:dyDescent="0.2">
      <c r="A245" s="2"/>
      <c r="B245" s="2"/>
      <c r="C245" s="2"/>
      <c r="D245" s="2"/>
      <c r="E245" s="2"/>
      <c r="F245" s="2"/>
      <c r="G245" s="2"/>
      <c r="H245" s="2"/>
      <c r="I245" s="2"/>
      <c r="J245" s="2"/>
    </row>
    <row r="246" spans="1:10" x14ac:dyDescent="0.2">
      <c r="A246" s="2"/>
      <c r="B246" s="2"/>
      <c r="C246" s="2"/>
      <c r="D246" s="2"/>
      <c r="E246" s="2"/>
      <c r="F246" s="2"/>
      <c r="G246" s="2"/>
      <c r="H246" s="2"/>
      <c r="I246" s="2"/>
      <c r="J246" s="2"/>
    </row>
    <row r="247" spans="1:10" x14ac:dyDescent="0.2">
      <c r="A247" s="2"/>
      <c r="B247" s="2"/>
      <c r="C247" s="2"/>
      <c r="D247" s="2"/>
      <c r="E247" s="2"/>
      <c r="F247" s="2"/>
      <c r="G247" s="2"/>
      <c r="H247" s="2"/>
      <c r="I247" s="2"/>
      <c r="J247" s="2"/>
    </row>
    <row r="248" spans="1:10" x14ac:dyDescent="0.2">
      <c r="A248" s="2"/>
      <c r="B248" s="2"/>
      <c r="C248" s="2"/>
      <c r="D248" s="2"/>
      <c r="E248" s="2"/>
      <c r="F248" s="2"/>
      <c r="G248" s="2"/>
      <c r="H248" s="2"/>
      <c r="I248" s="2"/>
      <c r="J248" s="2"/>
    </row>
    <row r="249" spans="1:10" x14ac:dyDescent="0.2">
      <c r="A249" s="2"/>
      <c r="B249" s="2"/>
      <c r="C249" s="2"/>
      <c r="D249" s="2"/>
      <c r="E249" s="2"/>
      <c r="F249" s="2"/>
      <c r="G249" s="2"/>
      <c r="H249" s="2"/>
      <c r="I249" s="2"/>
      <c r="J249" s="2"/>
    </row>
    <row r="250" spans="1:10" x14ac:dyDescent="0.2">
      <c r="A250" s="2"/>
      <c r="B250" s="2"/>
      <c r="C250" s="2"/>
      <c r="D250" s="2"/>
      <c r="E250" s="2"/>
      <c r="F250" s="2"/>
      <c r="G250" s="2"/>
      <c r="H250" s="2"/>
      <c r="I250" s="2"/>
      <c r="J250" s="2"/>
    </row>
    <row r="251" spans="1:10" x14ac:dyDescent="0.2">
      <c r="A251" s="2"/>
      <c r="B251" s="2"/>
      <c r="C251" s="2"/>
      <c r="D251" s="2"/>
      <c r="E251" s="2"/>
      <c r="F251" s="2"/>
      <c r="G251" s="2"/>
      <c r="H251" s="2"/>
      <c r="I251" s="2"/>
      <c r="J251" s="2"/>
    </row>
    <row r="252" spans="1:10" x14ac:dyDescent="0.2">
      <c r="A252" s="2"/>
      <c r="B252" s="2"/>
      <c r="C252" s="2"/>
      <c r="D252" s="2"/>
      <c r="E252" s="2"/>
      <c r="F252" s="2"/>
      <c r="G252" s="2"/>
      <c r="H252" s="2"/>
      <c r="I252" s="2"/>
      <c r="J252" s="2"/>
    </row>
    <row r="253" spans="1:10" x14ac:dyDescent="0.2">
      <c r="A253" s="2"/>
      <c r="B253" s="2"/>
      <c r="C253" s="2"/>
      <c r="D253" s="2"/>
      <c r="E253" s="2"/>
      <c r="F253" s="2"/>
      <c r="G253" s="2"/>
      <c r="H253" s="2"/>
      <c r="I253" s="2"/>
      <c r="J253" s="2"/>
    </row>
    <row r="254" spans="1:10" x14ac:dyDescent="0.2">
      <c r="A254" s="2"/>
      <c r="B254" s="2"/>
      <c r="C254" s="2"/>
      <c r="D254" s="2"/>
      <c r="E254" s="2"/>
      <c r="F254" s="2"/>
      <c r="G254" s="2"/>
      <c r="H254" s="2"/>
      <c r="I254" s="2"/>
      <c r="J254" s="2"/>
    </row>
    <row r="255" spans="1:10" x14ac:dyDescent="0.2">
      <c r="A255" s="2"/>
      <c r="B255" s="2"/>
      <c r="C255" s="2"/>
      <c r="D255" s="2"/>
      <c r="E255" s="2"/>
      <c r="F255" s="2"/>
      <c r="G255" s="2"/>
      <c r="H255" s="2"/>
      <c r="I255" s="2"/>
      <c r="J255" s="2"/>
    </row>
    <row r="256" spans="1:10" x14ac:dyDescent="0.2">
      <c r="A256" s="2"/>
      <c r="B256" s="2"/>
      <c r="C256" s="2"/>
      <c r="D256" s="2"/>
      <c r="E256" s="2"/>
      <c r="F256" s="2"/>
      <c r="G256" s="2"/>
      <c r="H256" s="2"/>
      <c r="I256" s="2"/>
      <c r="J256" s="2"/>
    </row>
    <row r="257" spans="1:10" x14ac:dyDescent="0.2">
      <c r="A257" s="2"/>
      <c r="B257" s="2"/>
      <c r="C257" s="2"/>
      <c r="D257" s="2"/>
      <c r="E257" s="2"/>
      <c r="F257" s="2"/>
      <c r="G257" s="2"/>
      <c r="H257" s="2"/>
      <c r="I257" s="2"/>
      <c r="J257" s="2"/>
    </row>
    <row r="258" spans="1:10" x14ac:dyDescent="0.2">
      <c r="A258" s="2"/>
      <c r="B258" s="2"/>
      <c r="C258" s="2"/>
      <c r="D258" s="2"/>
      <c r="E258" s="2"/>
      <c r="F258" s="2"/>
      <c r="G258" s="2"/>
      <c r="H258" s="2"/>
      <c r="I258" s="2"/>
      <c r="J258" s="2"/>
    </row>
    <row r="259" spans="1:10" x14ac:dyDescent="0.2">
      <c r="A259" s="2"/>
      <c r="B259" s="2"/>
      <c r="C259" s="2"/>
      <c r="D259" s="2"/>
      <c r="E259" s="2"/>
      <c r="F259" s="2"/>
      <c r="G259" s="2"/>
      <c r="H259" s="2"/>
      <c r="I259" s="2"/>
      <c r="J259" s="2"/>
    </row>
    <row r="260" spans="1:10" x14ac:dyDescent="0.2">
      <c r="A260" s="2"/>
      <c r="B260" s="2"/>
      <c r="C260" s="2"/>
      <c r="D260" s="2"/>
      <c r="E260" s="2"/>
      <c r="F260" s="2"/>
      <c r="G260" s="2"/>
      <c r="H260" s="2"/>
      <c r="I260" s="2"/>
      <c r="J260" s="2"/>
    </row>
    <row r="261" spans="1:10" x14ac:dyDescent="0.2">
      <c r="A261" s="2"/>
      <c r="B261" s="2"/>
      <c r="C261" s="2"/>
      <c r="D261" s="2"/>
      <c r="E261" s="2"/>
      <c r="F261" s="2"/>
      <c r="G261" s="2"/>
      <c r="H261" s="2"/>
      <c r="I261" s="2"/>
      <c r="J261" s="2"/>
    </row>
    <row r="262" spans="1:10" x14ac:dyDescent="0.2">
      <c r="A262" s="2"/>
      <c r="B262" s="2"/>
      <c r="C262" s="2"/>
      <c r="D262" s="2"/>
      <c r="E262" s="2"/>
      <c r="F262" s="2"/>
      <c r="G262" s="2"/>
      <c r="H262" s="2"/>
      <c r="I262" s="2"/>
      <c r="J262" s="2"/>
    </row>
    <row r="263" spans="1:10" x14ac:dyDescent="0.2">
      <c r="A263" s="2"/>
      <c r="B263" s="2"/>
      <c r="C263" s="2"/>
      <c r="D263" s="2"/>
      <c r="E263" s="2"/>
      <c r="F263" s="2"/>
      <c r="G263" s="2"/>
      <c r="H263" s="2"/>
      <c r="I263" s="2"/>
      <c r="J263" s="2"/>
    </row>
    <row r="264" spans="1:10" x14ac:dyDescent="0.2">
      <c r="A264" s="2"/>
      <c r="B264" s="2"/>
      <c r="C264" s="2"/>
      <c r="D264" s="2"/>
      <c r="E264" s="2"/>
      <c r="F264" s="2"/>
      <c r="G264" s="2"/>
      <c r="H264" s="2"/>
      <c r="I264" s="2"/>
      <c r="J264" s="2"/>
    </row>
    <row r="265" spans="1:10" x14ac:dyDescent="0.2">
      <c r="A265" s="2"/>
      <c r="B265" s="2"/>
      <c r="C265" s="2"/>
      <c r="D265" s="2"/>
      <c r="E265" s="2"/>
      <c r="F265" s="2"/>
      <c r="G265" s="2"/>
      <c r="H265" s="2"/>
      <c r="I265" s="2"/>
      <c r="J265" s="2"/>
    </row>
    <row r="266" spans="1:10" x14ac:dyDescent="0.2">
      <c r="A266" s="2"/>
      <c r="B266" s="2"/>
      <c r="C266" s="2"/>
      <c r="D266" s="2"/>
      <c r="E266" s="2"/>
      <c r="F266" s="2"/>
      <c r="G266" s="2"/>
      <c r="H266" s="2"/>
      <c r="I266" s="2"/>
      <c r="J266" s="2"/>
    </row>
    <row r="267" spans="1:10" x14ac:dyDescent="0.2">
      <c r="A267" s="2"/>
      <c r="B267" s="2"/>
      <c r="C267" s="2"/>
      <c r="D267" s="2"/>
      <c r="E267" s="2"/>
      <c r="F267" s="2"/>
      <c r="G267" s="2"/>
      <c r="H267" s="2"/>
      <c r="I267" s="2"/>
      <c r="J267" s="2"/>
    </row>
    <row r="268" spans="1:10" x14ac:dyDescent="0.2">
      <c r="A268" s="2"/>
      <c r="B268" s="2"/>
      <c r="C268" s="2"/>
      <c r="D268" s="2"/>
      <c r="E268" s="2"/>
      <c r="F268" s="2"/>
      <c r="G268" s="2"/>
      <c r="H268" s="2"/>
      <c r="I268" s="2"/>
      <c r="J268" s="2"/>
    </row>
    <row r="269" spans="1:10" x14ac:dyDescent="0.2">
      <c r="A269" s="2"/>
      <c r="B269" s="2"/>
      <c r="C269" s="2"/>
      <c r="D269" s="2"/>
      <c r="E269" s="2"/>
      <c r="F269" s="2"/>
      <c r="G269" s="2"/>
      <c r="H269" s="2"/>
      <c r="I269" s="2"/>
      <c r="J269" s="2"/>
    </row>
    <row r="270" spans="1:10" x14ac:dyDescent="0.2">
      <c r="A270" s="2"/>
      <c r="B270" s="2"/>
      <c r="C270" s="2"/>
      <c r="D270" s="2"/>
      <c r="E270" s="2"/>
      <c r="F270" s="2"/>
      <c r="G270" s="2"/>
      <c r="H270" s="2"/>
      <c r="I270" s="2"/>
      <c r="J270" s="2"/>
    </row>
    <row r="271" spans="1:10" x14ac:dyDescent="0.2">
      <c r="A271" s="2"/>
      <c r="B271" s="2"/>
      <c r="C271" s="2"/>
      <c r="D271" s="2"/>
      <c r="E271" s="2"/>
      <c r="F271" s="2"/>
      <c r="G271" s="2"/>
      <c r="H271" s="2"/>
      <c r="I271" s="2"/>
      <c r="J271" s="2"/>
    </row>
    <row r="272" spans="1:10" x14ac:dyDescent="0.2">
      <c r="A272" s="2"/>
      <c r="B272" s="2"/>
      <c r="C272" s="2"/>
      <c r="D272" s="2"/>
      <c r="E272" s="2"/>
      <c r="F272" s="2"/>
      <c r="G272" s="2"/>
      <c r="H272" s="2"/>
      <c r="I272" s="2"/>
      <c r="J272" s="2"/>
    </row>
    <row r="273" spans="1:10" x14ac:dyDescent="0.2">
      <c r="A273" s="2"/>
      <c r="B273" s="2"/>
      <c r="C273" s="2"/>
      <c r="D273" s="2"/>
      <c r="E273" s="2"/>
      <c r="F273" s="2"/>
      <c r="G273" s="2"/>
      <c r="H273" s="2"/>
      <c r="I273" s="2"/>
      <c r="J273" s="2"/>
    </row>
    <row r="274" spans="1:10" x14ac:dyDescent="0.2">
      <c r="A274" s="2"/>
      <c r="B274" s="2"/>
      <c r="C274" s="2"/>
      <c r="D274" s="2"/>
      <c r="E274" s="2"/>
      <c r="F274" s="2"/>
      <c r="G274" s="2"/>
      <c r="H274" s="2"/>
      <c r="I274" s="2"/>
      <c r="J274" s="2"/>
    </row>
    <row r="275" spans="1:10" x14ac:dyDescent="0.2">
      <c r="A275" s="2"/>
      <c r="B275" s="2"/>
      <c r="C275" s="2"/>
      <c r="D275" s="2"/>
      <c r="E275" s="2"/>
      <c r="F275" s="2"/>
      <c r="G275" s="2"/>
      <c r="H275" s="2"/>
      <c r="I275" s="2"/>
      <c r="J275" s="2"/>
    </row>
    <row r="276" spans="1:10" x14ac:dyDescent="0.2">
      <c r="A276" s="2"/>
      <c r="B276" s="2"/>
      <c r="C276" s="2"/>
      <c r="D276" s="2"/>
      <c r="E276" s="2"/>
      <c r="F276" s="2"/>
      <c r="G276" s="2"/>
      <c r="H276" s="2"/>
      <c r="I276" s="2"/>
      <c r="J276" s="2"/>
    </row>
    <row r="277" spans="1:10" x14ac:dyDescent="0.2">
      <c r="A277" s="2"/>
      <c r="B277" s="2"/>
      <c r="C277" s="2"/>
      <c r="D277" s="2"/>
      <c r="E277" s="2"/>
      <c r="F277" s="2"/>
      <c r="G277" s="2"/>
      <c r="H277" s="2"/>
      <c r="I277" s="2"/>
      <c r="J277" s="2"/>
    </row>
    <row r="278" spans="1:10" x14ac:dyDescent="0.2">
      <c r="A278" s="2"/>
      <c r="B278" s="2"/>
      <c r="C278" s="2"/>
      <c r="D278" s="2"/>
      <c r="E278" s="2"/>
      <c r="F278" s="2"/>
      <c r="G278" s="2"/>
      <c r="H278" s="2"/>
      <c r="I278" s="2"/>
      <c r="J278" s="2"/>
    </row>
    <row r="279" spans="1:10" x14ac:dyDescent="0.2">
      <c r="A279" s="2"/>
      <c r="B279" s="2"/>
      <c r="C279" s="2"/>
      <c r="D279" s="2"/>
      <c r="E279" s="2"/>
      <c r="F279" s="2"/>
      <c r="G279" s="2"/>
      <c r="H279" s="2"/>
      <c r="I279" s="2"/>
      <c r="J279" s="2"/>
    </row>
    <row r="280" spans="1:10" x14ac:dyDescent="0.2">
      <c r="A280" s="2"/>
      <c r="B280" s="2"/>
      <c r="C280" s="2"/>
      <c r="D280" s="2"/>
      <c r="E280" s="2"/>
      <c r="F280" s="2"/>
      <c r="G280" s="2"/>
      <c r="H280" s="2"/>
      <c r="I280" s="2"/>
      <c r="J280" s="2"/>
    </row>
    <row r="281" spans="1:10" x14ac:dyDescent="0.2">
      <c r="A281" s="2"/>
      <c r="B281" s="2"/>
      <c r="C281" s="2"/>
      <c r="D281" s="2"/>
      <c r="E281" s="2"/>
      <c r="F281" s="2"/>
      <c r="G281" s="2"/>
      <c r="H281" s="2"/>
      <c r="I281" s="2"/>
      <c r="J281" s="2"/>
    </row>
    <row r="282" spans="1:10" x14ac:dyDescent="0.2">
      <c r="A282" s="2"/>
      <c r="B282" s="2"/>
      <c r="C282" s="2"/>
      <c r="D282" s="2"/>
      <c r="E282" s="2"/>
      <c r="F282" s="2"/>
      <c r="G282" s="2"/>
      <c r="H282" s="2"/>
      <c r="I282" s="2"/>
      <c r="J282" s="2"/>
    </row>
    <row r="283" spans="1:10" x14ac:dyDescent="0.2">
      <c r="A283" s="2"/>
      <c r="B283" s="2"/>
      <c r="C283" s="2"/>
      <c r="D283" s="2"/>
      <c r="E283" s="2"/>
      <c r="F283" s="2"/>
      <c r="G283" s="2"/>
      <c r="H283" s="2"/>
      <c r="I283" s="2"/>
      <c r="J283" s="2"/>
    </row>
    <row r="284" spans="1:10" x14ac:dyDescent="0.2">
      <c r="A284" s="2"/>
      <c r="B284" s="2"/>
      <c r="C284" s="2"/>
      <c r="D284" s="2"/>
      <c r="E284" s="2"/>
      <c r="F284" s="2"/>
      <c r="G284" s="2"/>
      <c r="H284" s="2"/>
      <c r="I284" s="2"/>
      <c r="J284" s="2"/>
    </row>
    <row r="285" spans="1:10" x14ac:dyDescent="0.2">
      <c r="A285" s="2"/>
      <c r="B285" s="2"/>
      <c r="C285" s="2"/>
      <c r="D285" s="2"/>
      <c r="E285" s="2"/>
      <c r="F285" s="2"/>
      <c r="G285" s="2"/>
      <c r="H285" s="2"/>
      <c r="I285" s="2"/>
      <c r="J285" s="2"/>
    </row>
    <row r="286" spans="1:10" x14ac:dyDescent="0.2">
      <c r="A286" s="2"/>
      <c r="B286" s="2"/>
      <c r="C286" s="2"/>
      <c r="D286" s="2"/>
      <c r="E286" s="2"/>
      <c r="F286" s="2"/>
      <c r="G286" s="2"/>
      <c r="H286" s="2"/>
      <c r="I286" s="2"/>
      <c r="J286" s="2"/>
    </row>
    <row r="287" spans="1:10" x14ac:dyDescent="0.2">
      <c r="A287" s="2"/>
      <c r="B287" s="2"/>
      <c r="C287" s="2"/>
      <c r="D287" s="2"/>
      <c r="E287" s="2"/>
      <c r="F287" s="2"/>
      <c r="G287" s="2"/>
      <c r="H287" s="2"/>
      <c r="I287" s="2"/>
      <c r="J287" s="2"/>
    </row>
    <row r="288" spans="1:10" x14ac:dyDescent="0.2">
      <c r="A288" s="2"/>
      <c r="B288" s="2"/>
      <c r="C288" s="2"/>
      <c r="D288" s="2"/>
      <c r="E288" s="2"/>
      <c r="F288" s="2"/>
      <c r="G288" s="2"/>
      <c r="H288" s="2"/>
      <c r="I288" s="2"/>
      <c r="J288" s="2"/>
    </row>
    <row r="289" spans="1:10" x14ac:dyDescent="0.2">
      <c r="A289" s="2"/>
      <c r="B289" s="2"/>
      <c r="C289" s="2"/>
      <c r="D289" s="2"/>
      <c r="E289" s="2"/>
      <c r="F289" s="2"/>
      <c r="G289" s="2"/>
      <c r="H289" s="2"/>
      <c r="I289" s="2"/>
      <c r="J289" s="2"/>
    </row>
    <row r="290" spans="1:10" x14ac:dyDescent="0.2">
      <c r="A290" s="2"/>
      <c r="B290" s="2"/>
      <c r="C290" s="2"/>
      <c r="D290" s="2"/>
      <c r="E290" s="2"/>
      <c r="F290" s="2"/>
      <c r="G290" s="2"/>
      <c r="H290" s="2"/>
      <c r="I290" s="2"/>
      <c r="J290" s="2"/>
    </row>
    <row r="291" spans="1:10" x14ac:dyDescent="0.2">
      <c r="A291" s="2"/>
      <c r="B291" s="2"/>
      <c r="C291" s="2"/>
      <c r="D291" s="2"/>
      <c r="E291" s="2"/>
      <c r="F291" s="2"/>
      <c r="G291" s="2"/>
      <c r="H291" s="2"/>
      <c r="I291" s="2"/>
      <c r="J291" s="2"/>
    </row>
    <row r="292" spans="1:10" x14ac:dyDescent="0.2">
      <c r="A292" s="2"/>
      <c r="B292" s="2"/>
      <c r="C292" s="2"/>
      <c r="D292" s="2"/>
      <c r="E292" s="2"/>
      <c r="F292" s="2"/>
      <c r="G292" s="2"/>
      <c r="H292" s="2"/>
      <c r="I292" s="2"/>
      <c r="J292" s="2"/>
    </row>
    <row r="293" spans="1:10" x14ac:dyDescent="0.2">
      <c r="A293" s="2"/>
      <c r="B293" s="2"/>
      <c r="C293" s="2"/>
      <c r="D293" s="2"/>
      <c r="E293" s="2"/>
      <c r="F293" s="2"/>
      <c r="G293" s="2"/>
      <c r="H293" s="2"/>
      <c r="I293" s="2"/>
      <c r="J293" s="2"/>
    </row>
    <row r="294" spans="1:10" x14ac:dyDescent="0.2">
      <c r="A294" s="2"/>
      <c r="B294" s="2"/>
      <c r="C294" s="2"/>
      <c r="D294" s="2"/>
      <c r="E294" s="2"/>
      <c r="F294" s="2"/>
      <c r="G294" s="2"/>
      <c r="H294" s="2"/>
      <c r="I294" s="2"/>
      <c r="J294" s="2"/>
    </row>
    <row r="295" spans="1:10" x14ac:dyDescent="0.2">
      <c r="A295" s="2"/>
      <c r="B295" s="2"/>
      <c r="C295" s="2"/>
      <c r="D295" s="2"/>
      <c r="E295" s="2"/>
      <c r="F295" s="2"/>
      <c r="G295" s="2"/>
      <c r="H295" s="2"/>
      <c r="I295" s="2"/>
      <c r="J295" s="2"/>
    </row>
    <row r="296" spans="1:10" x14ac:dyDescent="0.2">
      <c r="A296" s="2"/>
      <c r="B296" s="2"/>
      <c r="C296" s="2"/>
      <c r="D296" s="2"/>
      <c r="E296" s="2"/>
      <c r="F296" s="2"/>
      <c r="G296" s="2"/>
      <c r="H296" s="2"/>
      <c r="I296" s="2"/>
      <c r="J296" s="2"/>
    </row>
    <row r="297" spans="1:10" x14ac:dyDescent="0.2">
      <c r="A297" s="2"/>
      <c r="B297" s="2"/>
      <c r="C297" s="2"/>
      <c r="D297" s="2"/>
      <c r="E297" s="2"/>
      <c r="F297" s="2"/>
      <c r="G297" s="2"/>
      <c r="H297" s="2"/>
      <c r="I297" s="2"/>
      <c r="J297" s="2"/>
    </row>
    <row r="298" spans="1:10" x14ac:dyDescent="0.2">
      <c r="A298" s="2"/>
      <c r="B298" s="2"/>
      <c r="C298" s="2"/>
      <c r="D298" s="2"/>
      <c r="E298" s="2"/>
      <c r="F298" s="2"/>
      <c r="G298" s="2"/>
      <c r="H298" s="2"/>
      <c r="I298" s="2"/>
      <c r="J298" s="2"/>
    </row>
    <row r="299" spans="1:10" x14ac:dyDescent="0.2">
      <c r="A299" s="2"/>
      <c r="B299" s="2"/>
      <c r="C299" s="2"/>
      <c r="D299" s="2"/>
      <c r="E299" s="2"/>
      <c r="F299" s="2"/>
      <c r="G299" s="2"/>
      <c r="H299" s="2"/>
      <c r="I299" s="2"/>
      <c r="J299" s="2"/>
    </row>
    <row r="300" spans="1:10" x14ac:dyDescent="0.2">
      <c r="A300" s="2"/>
      <c r="B300" s="2"/>
      <c r="C300" s="2"/>
      <c r="D300" s="2"/>
      <c r="E300" s="2"/>
      <c r="F300" s="2"/>
      <c r="G300" s="2"/>
      <c r="H300" s="2"/>
      <c r="I300" s="2"/>
      <c r="J300" s="2"/>
    </row>
    <row r="301" spans="1:10" x14ac:dyDescent="0.2">
      <c r="A301" s="2"/>
      <c r="B301" s="2"/>
      <c r="C301" s="2"/>
      <c r="D301" s="2"/>
      <c r="E301" s="2"/>
      <c r="F301" s="2"/>
      <c r="G301" s="2"/>
      <c r="H301" s="2"/>
      <c r="I301" s="2"/>
      <c r="J301" s="2"/>
    </row>
    <row r="302" spans="1:10" x14ac:dyDescent="0.2">
      <c r="A302" s="2"/>
      <c r="B302" s="2"/>
      <c r="C302" s="2"/>
      <c r="D302" s="2"/>
      <c r="E302" s="2"/>
      <c r="F302" s="2"/>
      <c r="G302" s="2"/>
      <c r="H302" s="2"/>
      <c r="I302" s="2"/>
      <c r="J302" s="2"/>
    </row>
    <row r="303" spans="1:10" x14ac:dyDescent="0.2">
      <c r="A303" s="2"/>
      <c r="B303" s="2"/>
      <c r="C303" s="2"/>
      <c r="D303" s="2"/>
      <c r="E303" s="2"/>
      <c r="F303" s="2"/>
      <c r="G303" s="2"/>
      <c r="H303" s="2"/>
      <c r="I303" s="2"/>
      <c r="J303" s="2"/>
    </row>
    <row r="304" spans="1:10" x14ac:dyDescent="0.2">
      <c r="A304" s="2"/>
      <c r="B304" s="2"/>
      <c r="C304" s="2"/>
      <c r="D304" s="2"/>
      <c r="E304" s="2"/>
      <c r="F304" s="2"/>
      <c r="G304" s="2"/>
      <c r="H304" s="2"/>
      <c r="I304" s="2"/>
      <c r="J304" s="2"/>
    </row>
    <row r="305" spans="1:10" x14ac:dyDescent="0.2">
      <c r="A305" s="2"/>
      <c r="B305" s="2"/>
      <c r="C305" s="2"/>
      <c r="D305" s="2"/>
      <c r="E305" s="2"/>
      <c r="F305" s="2"/>
      <c r="G305" s="2"/>
      <c r="H305" s="2"/>
      <c r="I305" s="2"/>
      <c r="J305" s="2"/>
    </row>
    <row r="306" spans="1:10" x14ac:dyDescent="0.2">
      <c r="A306" s="2"/>
      <c r="B306" s="2"/>
      <c r="C306" s="2"/>
      <c r="D306" s="2"/>
      <c r="E306" s="2"/>
      <c r="F306" s="2"/>
      <c r="G306" s="2"/>
      <c r="H306" s="2"/>
      <c r="I306" s="2"/>
      <c r="J306" s="2"/>
    </row>
    <row r="307" spans="1:10" x14ac:dyDescent="0.2">
      <c r="A307" s="2"/>
      <c r="B307" s="2"/>
      <c r="C307" s="2"/>
      <c r="D307" s="2"/>
      <c r="E307" s="2"/>
      <c r="F307" s="2"/>
      <c r="G307" s="2"/>
      <c r="H307" s="2"/>
      <c r="I307" s="2"/>
      <c r="J307" s="2"/>
    </row>
    <row r="308" spans="1:10" x14ac:dyDescent="0.2">
      <c r="A308" s="2"/>
      <c r="B308" s="2"/>
      <c r="C308" s="2"/>
      <c r="D308" s="2"/>
      <c r="E308" s="2"/>
      <c r="F308" s="2"/>
      <c r="G308" s="2"/>
      <c r="H308" s="2"/>
      <c r="I308" s="2"/>
      <c r="J308" s="2"/>
    </row>
    <row r="309" spans="1:10" x14ac:dyDescent="0.2">
      <c r="A309" s="2"/>
      <c r="B309" s="2"/>
      <c r="C309" s="2"/>
      <c r="D309" s="2"/>
      <c r="E309" s="2"/>
      <c r="F309" s="2"/>
      <c r="G309" s="2"/>
      <c r="H309" s="2"/>
      <c r="I309" s="2"/>
      <c r="J309" s="2"/>
    </row>
    <row r="310" spans="1:10" x14ac:dyDescent="0.2">
      <c r="A310" s="2"/>
      <c r="B310" s="2"/>
      <c r="C310" s="2"/>
      <c r="D310" s="2"/>
      <c r="E310" s="2"/>
      <c r="F310" s="2"/>
      <c r="G310" s="2"/>
      <c r="H310" s="2"/>
      <c r="I310" s="2"/>
      <c r="J310" s="2"/>
    </row>
    <row r="311" spans="1:10" x14ac:dyDescent="0.2">
      <c r="A311" s="2"/>
      <c r="B311" s="2"/>
      <c r="C311" s="2"/>
      <c r="D311" s="2"/>
      <c r="E311" s="2"/>
      <c r="F311" s="2"/>
      <c r="G311" s="2"/>
      <c r="H311" s="2"/>
      <c r="I311" s="2"/>
      <c r="J311" s="2"/>
    </row>
    <row r="312" spans="1:10" x14ac:dyDescent="0.2">
      <c r="A312" s="2"/>
      <c r="B312" s="2"/>
      <c r="C312" s="2"/>
      <c r="D312" s="2"/>
      <c r="E312" s="2"/>
      <c r="F312" s="2"/>
      <c r="G312" s="2"/>
      <c r="H312" s="2"/>
      <c r="I312" s="2"/>
      <c r="J312" s="2"/>
    </row>
    <row r="313" spans="1:10" x14ac:dyDescent="0.2">
      <c r="A313" s="2"/>
      <c r="B313" s="2"/>
      <c r="C313" s="2"/>
      <c r="D313" s="2"/>
      <c r="E313" s="2"/>
      <c r="F313" s="2"/>
      <c r="G313" s="2"/>
      <c r="H313" s="2"/>
      <c r="I313" s="2"/>
      <c r="J313" s="2"/>
    </row>
    <row r="314" spans="1:10" x14ac:dyDescent="0.2">
      <c r="A314" s="2"/>
      <c r="B314" s="2"/>
      <c r="C314" s="2"/>
      <c r="D314" s="2"/>
      <c r="E314" s="2"/>
      <c r="F314" s="2"/>
      <c r="G314" s="2"/>
      <c r="H314" s="2"/>
      <c r="I314" s="2"/>
      <c r="J314" s="2"/>
    </row>
    <row r="315" spans="1:10" x14ac:dyDescent="0.2">
      <c r="A315" s="2"/>
      <c r="B315" s="2"/>
      <c r="C315" s="2"/>
      <c r="D315" s="2"/>
      <c r="E315" s="2"/>
      <c r="F315" s="2"/>
      <c r="G315" s="2"/>
      <c r="H315" s="2"/>
      <c r="I315" s="2"/>
      <c r="J315" s="2"/>
    </row>
    <row r="316" spans="1:10" x14ac:dyDescent="0.2">
      <c r="A316" s="2"/>
      <c r="B316" s="2"/>
      <c r="C316" s="2"/>
      <c r="D316" s="2"/>
      <c r="E316" s="2"/>
      <c r="F316" s="2"/>
      <c r="G316" s="2"/>
      <c r="H316" s="2"/>
      <c r="I316" s="2"/>
      <c r="J316" s="2"/>
    </row>
    <row r="317" spans="1:10" x14ac:dyDescent="0.2">
      <c r="A317" s="2"/>
      <c r="B317" s="2"/>
      <c r="C317" s="2"/>
      <c r="D317" s="2"/>
      <c r="E317" s="2"/>
      <c r="F317" s="2"/>
      <c r="G317" s="2"/>
      <c r="H317" s="2"/>
      <c r="I317" s="2"/>
      <c r="J317" s="2"/>
    </row>
    <row r="318" spans="1:10" x14ac:dyDescent="0.2">
      <c r="A318" s="2"/>
      <c r="B318" s="2"/>
      <c r="C318" s="2"/>
      <c r="D318" s="2"/>
      <c r="E318" s="2"/>
      <c r="F318" s="2"/>
      <c r="G318" s="2"/>
      <c r="H318" s="2"/>
      <c r="I318" s="2"/>
      <c r="J318" s="2"/>
    </row>
    <row r="319" spans="1:10" x14ac:dyDescent="0.2">
      <c r="A319" s="2"/>
      <c r="B319" s="2"/>
      <c r="C319" s="2"/>
      <c r="D319" s="2"/>
      <c r="E319" s="2"/>
      <c r="F319" s="2"/>
      <c r="G319" s="2"/>
      <c r="H319" s="2"/>
      <c r="I319" s="2"/>
      <c r="J319" s="2"/>
    </row>
    <row r="320" spans="1:10" x14ac:dyDescent="0.2">
      <c r="A320" s="2"/>
      <c r="B320" s="2"/>
      <c r="C320" s="2"/>
      <c r="D320" s="2"/>
      <c r="E320" s="2"/>
      <c r="F320" s="2"/>
      <c r="G320" s="2"/>
      <c r="H320" s="2"/>
      <c r="I320" s="2"/>
      <c r="J320" s="2"/>
    </row>
    <row r="321" spans="1:10" x14ac:dyDescent="0.2">
      <c r="A321" s="2"/>
      <c r="B321" s="2"/>
      <c r="C321" s="2"/>
      <c r="D321" s="2"/>
      <c r="E321" s="2"/>
      <c r="F321" s="2"/>
      <c r="G321" s="2"/>
      <c r="H321" s="2"/>
      <c r="I321" s="2"/>
      <c r="J321" s="2"/>
    </row>
    <row r="322" spans="1:10" x14ac:dyDescent="0.2">
      <c r="A322" s="2"/>
      <c r="B322" s="2"/>
      <c r="C322" s="2"/>
      <c r="D322" s="2"/>
      <c r="E322" s="2"/>
      <c r="F322" s="2"/>
      <c r="G322" s="2"/>
      <c r="H322" s="2"/>
      <c r="I322" s="2"/>
      <c r="J322" s="2"/>
    </row>
    <row r="323" spans="1:10" x14ac:dyDescent="0.2">
      <c r="A323" s="2"/>
      <c r="B323" s="2"/>
      <c r="C323" s="2"/>
      <c r="D323" s="2"/>
      <c r="E323" s="2"/>
      <c r="F323" s="2"/>
      <c r="G323" s="2"/>
      <c r="H323" s="2"/>
      <c r="I323" s="2"/>
      <c r="J323" s="2"/>
    </row>
    <row r="324" spans="1:10" x14ac:dyDescent="0.2">
      <c r="A324" s="2"/>
      <c r="B324" s="2"/>
      <c r="C324" s="2"/>
      <c r="D324" s="2"/>
      <c r="E324" s="2"/>
      <c r="F324" s="2"/>
      <c r="G324" s="2"/>
      <c r="H324" s="2"/>
      <c r="I324" s="2"/>
      <c r="J324" s="2"/>
    </row>
    <row r="325" spans="1:10" x14ac:dyDescent="0.2">
      <c r="A325" s="2"/>
      <c r="B325" s="2"/>
      <c r="C325" s="2"/>
      <c r="D325" s="2"/>
      <c r="E325" s="2"/>
      <c r="F325" s="2"/>
      <c r="G325" s="2"/>
      <c r="H325" s="2"/>
      <c r="I325" s="2"/>
      <c r="J325" s="2"/>
    </row>
    <row r="326" spans="1:10" x14ac:dyDescent="0.2">
      <c r="A326" s="2"/>
      <c r="B326" s="2"/>
      <c r="C326" s="2"/>
      <c r="D326" s="2"/>
      <c r="E326" s="2"/>
      <c r="F326" s="2"/>
      <c r="G326" s="2"/>
      <c r="H326" s="2"/>
      <c r="I326" s="2"/>
      <c r="J326" s="2"/>
    </row>
    <row r="327" spans="1:10" x14ac:dyDescent="0.2">
      <c r="A327" s="2"/>
      <c r="B327" s="2"/>
      <c r="C327" s="2"/>
      <c r="D327" s="2"/>
      <c r="E327" s="2"/>
      <c r="F327" s="2"/>
      <c r="G327" s="2"/>
      <c r="H327" s="2"/>
      <c r="I327" s="2"/>
      <c r="J327" s="2"/>
    </row>
    <row r="328" spans="1:10" x14ac:dyDescent="0.2">
      <c r="A328" s="2"/>
      <c r="B328" s="2"/>
      <c r="C328" s="2"/>
      <c r="D328" s="2"/>
      <c r="E328" s="2"/>
      <c r="F328" s="2"/>
      <c r="G328" s="2"/>
      <c r="H328" s="2"/>
      <c r="I328" s="2"/>
      <c r="J328" s="2"/>
    </row>
    <row r="329" spans="1:10" x14ac:dyDescent="0.2">
      <c r="A329" s="2"/>
      <c r="B329" s="2"/>
      <c r="C329" s="2"/>
      <c r="D329" s="2"/>
      <c r="E329" s="2"/>
      <c r="F329" s="2"/>
      <c r="G329" s="2"/>
      <c r="H329" s="2"/>
      <c r="I329" s="2"/>
      <c r="J329" s="2"/>
    </row>
    <row r="330" spans="1:10" x14ac:dyDescent="0.2">
      <c r="A330" s="2"/>
      <c r="B330" s="2"/>
      <c r="C330" s="2"/>
      <c r="D330" s="2"/>
      <c r="E330" s="2"/>
      <c r="F330" s="2"/>
      <c r="G330" s="2"/>
      <c r="H330" s="2"/>
      <c r="I330" s="2"/>
      <c r="J330" s="2"/>
    </row>
    <row r="331" spans="1:10" x14ac:dyDescent="0.2">
      <c r="A331" s="2"/>
      <c r="B331" s="2"/>
      <c r="C331" s="2"/>
      <c r="D331" s="2"/>
      <c r="E331" s="2"/>
      <c r="F331" s="2"/>
      <c r="G331" s="2"/>
      <c r="H331" s="2"/>
      <c r="I331" s="2"/>
      <c r="J331" s="2"/>
    </row>
    <row r="332" spans="1:10" x14ac:dyDescent="0.2">
      <c r="A332" s="2"/>
      <c r="B332" s="2"/>
      <c r="C332" s="2"/>
      <c r="D332" s="2"/>
      <c r="E332" s="2"/>
      <c r="F332" s="2"/>
      <c r="G332" s="2"/>
      <c r="H332" s="2"/>
      <c r="I332" s="2"/>
      <c r="J332" s="2"/>
    </row>
    <row r="333" spans="1:10" x14ac:dyDescent="0.2">
      <c r="A333" s="2"/>
      <c r="B333" s="2"/>
      <c r="C333" s="2"/>
      <c r="D333" s="2"/>
      <c r="E333" s="2"/>
      <c r="F333" s="2"/>
      <c r="G333" s="2"/>
      <c r="H333" s="2"/>
      <c r="I333" s="2"/>
      <c r="J333" s="2"/>
    </row>
    <row r="334" spans="1:10" x14ac:dyDescent="0.2">
      <c r="A334" s="2"/>
      <c r="B334" s="2"/>
      <c r="C334" s="2"/>
      <c r="D334" s="2"/>
      <c r="E334" s="2"/>
      <c r="F334" s="2"/>
      <c r="G334" s="2"/>
      <c r="H334" s="2"/>
      <c r="I334" s="2"/>
      <c r="J334" s="2"/>
    </row>
    <row r="335" spans="1:10" x14ac:dyDescent="0.2">
      <c r="A335" s="2"/>
      <c r="B335" s="2"/>
      <c r="C335" s="2"/>
      <c r="D335" s="2"/>
      <c r="E335" s="2"/>
      <c r="F335" s="2"/>
      <c r="G335" s="2"/>
      <c r="H335" s="2"/>
      <c r="I335" s="2"/>
      <c r="J335" s="2"/>
    </row>
    <row r="336" spans="1:10" x14ac:dyDescent="0.2">
      <c r="A336" s="2"/>
      <c r="B336" s="2"/>
      <c r="C336" s="2"/>
      <c r="D336" s="2"/>
      <c r="E336" s="2"/>
      <c r="F336" s="2"/>
      <c r="G336" s="2"/>
      <c r="H336" s="2"/>
      <c r="I336" s="2"/>
      <c r="J336" s="2"/>
    </row>
    <row r="337" spans="1:10" x14ac:dyDescent="0.2">
      <c r="A337" s="2"/>
      <c r="B337" s="2"/>
      <c r="C337" s="2"/>
      <c r="D337" s="2"/>
      <c r="E337" s="2"/>
      <c r="F337" s="2"/>
      <c r="G337" s="2"/>
      <c r="H337" s="2"/>
      <c r="I337" s="2"/>
      <c r="J337" s="2"/>
    </row>
    <row r="338" spans="1:10" x14ac:dyDescent="0.2">
      <c r="A338" s="2"/>
      <c r="B338" s="2"/>
      <c r="C338" s="2"/>
      <c r="D338" s="2"/>
      <c r="E338" s="2"/>
      <c r="F338" s="2"/>
      <c r="G338" s="2"/>
      <c r="H338" s="2"/>
      <c r="I338" s="2"/>
      <c r="J338" s="2"/>
    </row>
    <row r="339" spans="1:10" x14ac:dyDescent="0.2">
      <c r="A339" s="2"/>
      <c r="B339" s="2"/>
      <c r="C339" s="2"/>
      <c r="D339" s="2"/>
      <c r="E339" s="2"/>
      <c r="F339" s="2"/>
      <c r="G339" s="2"/>
      <c r="H339" s="2"/>
      <c r="I339" s="2"/>
      <c r="J339" s="2"/>
    </row>
    <row r="340" spans="1:10" x14ac:dyDescent="0.2">
      <c r="A340" s="2"/>
      <c r="B340" s="2"/>
      <c r="C340" s="2"/>
      <c r="D340" s="2"/>
      <c r="E340" s="2"/>
      <c r="F340" s="2"/>
      <c r="G340" s="2"/>
      <c r="H340" s="2"/>
      <c r="I340" s="2"/>
      <c r="J340" s="2"/>
    </row>
    <row r="341" spans="1:10" x14ac:dyDescent="0.2">
      <c r="A341" s="2"/>
      <c r="B341" s="2"/>
      <c r="C341" s="2"/>
      <c r="D341" s="2"/>
      <c r="E341" s="2"/>
      <c r="F341" s="2"/>
      <c r="G341" s="2"/>
      <c r="H341" s="2"/>
      <c r="I341" s="2"/>
      <c r="J341" s="2"/>
    </row>
    <row r="342" spans="1:10" x14ac:dyDescent="0.2">
      <c r="A342" s="2"/>
      <c r="B342" s="2"/>
      <c r="C342" s="2"/>
      <c r="D342" s="2"/>
      <c r="E342" s="2"/>
      <c r="F342" s="2"/>
      <c r="G342" s="2"/>
      <c r="H342" s="2"/>
      <c r="I342" s="2"/>
      <c r="J342" s="2"/>
    </row>
    <row r="343" spans="1:10" x14ac:dyDescent="0.2">
      <c r="A343" s="2"/>
      <c r="B343" s="2"/>
      <c r="C343" s="2"/>
      <c r="D343" s="2"/>
      <c r="E343" s="2"/>
      <c r="F343" s="2"/>
      <c r="G343" s="2"/>
      <c r="H343" s="2"/>
      <c r="I343" s="2"/>
      <c r="J343" s="2"/>
    </row>
    <row r="344" spans="1:10" x14ac:dyDescent="0.2">
      <c r="A344" s="2"/>
      <c r="B344" s="2"/>
      <c r="C344" s="2"/>
      <c r="D344" s="2"/>
      <c r="E344" s="2"/>
      <c r="F344" s="2"/>
      <c r="G344" s="2"/>
      <c r="H344" s="2"/>
      <c r="I344" s="2"/>
      <c r="J344" s="2"/>
    </row>
    <row r="345" spans="1:10" x14ac:dyDescent="0.2">
      <c r="A345" s="2"/>
      <c r="B345" s="2"/>
      <c r="C345" s="2"/>
      <c r="D345" s="2"/>
      <c r="E345" s="2"/>
      <c r="F345" s="2"/>
      <c r="G345" s="2"/>
      <c r="H345" s="2"/>
      <c r="I345" s="2"/>
      <c r="J345" s="2"/>
    </row>
    <row r="346" spans="1:10" x14ac:dyDescent="0.2">
      <c r="A346" s="2"/>
      <c r="B346" s="2"/>
      <c r="C346" s="2"/>
      <c r="D346" s="2"/>
      <c r="E346" s="2"/>
      <c r="F346" s="2"/>
      <c r="G346" s="2"/>
      <c r="H346" s="2"/>
      <c r="I346" s="2"/>
      <c r="J346" s="2"/>
    </row>
    <row r="347" spans="1:10" x14ac:dyDescent="0.2">
      <c r="A347" s="2"/>
      <c r="B347" s="2"/>
      <c r="C347" s="2"/>
      <c r="D347" s="2"/>
      <c r="E347" s="2"/>
      <c r="F347" s="2"/>
      <c r="G347" s="2"/>
      <c r="H347" s="2"/>
      <c r="I347" s="2"/>
      <c r="J347" s="2"/>
    </row>
    <row r="348" spans="1:10" x14ac:dyDescent="0.2">
      <c r="A348" s="2"/>
      <c r="B348" s="2"/>
      <c r="C348" s="2"/>
      <c r="D348" s="2"/>
      <c r="E348" s="2"/>
      <c r="F348" s="2"/>
      <c r="G348" s="2"/>
      <c r="H348" s="2"/>
      <c r="I348" s="2"/>
      <c r="J348" s="2"/>
    </row>
    <row r="349" spans="1:10" x14ac:dyDescent="0.2">
      <c r="A349" s="2"/>
      <c r="B349" s="2"/>
      <c r="C349" s="2"/>
      <c r="D349" s="2"/>
      <c r="E349" s="2"/>
      <c r="F349" s="2"/>
      <c r="G349" s="2"/>
      <c r="H349" s="2"/>
      <c r="I349" s="2"/>
      <c r="J349" s="2"/>
    </row>
    <row r="350" spans="1:10" x14ac:dyDescent="0.2">
      <c r="A350" s="2"/>
      <c r="B350" s="2"/>
      <c r="C350" s="2"/>
      <c r="D350" s="2"/>
      <c r="E350" s="2"/>
      <c r="F350" s="2"/>
      <c r="G350" s="2"/>
      <c r="H350" s="2"/>
      <c r="I350" s="2"/>
      <c r="J350" s="2"/>
    </row>
    <row r="351" spans="1:10" x14ac:dyDescent="0.2">
      <c r="A351" s="2"/>
      <c r="B351" s="2"/>
      <c r="C351" s="2"/>
      <c r="D351" s="2"/>
      <c r="E351" s="2"/>
      <c r="F351" s="2"/>
      <c r="G351" s="2"/>
      <c r="H351" s="2"/>
      <c r="I351" s="2"/>
      <c r="J351" s="2"/>
    </row>
    <row r="352" spans="1:10" x14ac:dyDescent="0.2">
      <c r="A352" s="2"/>
      <c r="B352" s="2"/>
      <c r="C352" s="2"/>
      <c r="D352" s="2"/>
      <c r="E352" s="2"/>
      <c r="F352" s="2"/>
      <c r="G352" s="2"/>
      <c r="H352" s="2"/>
      <c r="I352" s="2"/>
      <c r="J352" s="2"/>
    </row>
    <row r="353" spans="1:10" x14ac:dyDescent="0.2">
      <c r="A353" s="2"/>
      <c r="B353" s="2"/>
      <c r="C353" s="2"/>
      <c r="D353" s="2"/>
      <c r="E353" s="2"/>
      <c r="F353" s="2"/>
      <c r="G353" s="2"/>
      <c r="H353" s="2"/>
      <c r="I353" s="2"/>
      <c r="J353" s="2"/>
    </row>
    <row r="354" spans="1:10" x14ac:dyDescent="0.2">
      <c r="A354" s="2"/>
      <c r="B354" s="2"/>
      <c r="C354" s="2"/>
      <c r="D354" s="2"/>
      <c r="E354" s="2"/>
      <c r="F354" s="2"/>
      <c r="G354" s="2"/>
      <c r="H354" s="2"/>
      <c r="I354" s="2"/>
      <c r="J354" s="2"/>
    </row>
    <row r="355" spans="1:10" x14ac:dyDescent="0.2">
      <c r="A355" s="2"/>
      <c r="B355" s="2"/>
      <c r="C355" s="2"/>
      <c r="D355" s="2"/>
      <c r="E355" s="2"/>
      <c r="F355" s="2"/>
      <c r="G355" s="2"/>
      <c r="H355" s="2"/>
      <c r="I355" s="2"/>
      <c r="J355" s="2"/>
    </row>
    <row r="356" spans="1:10" x14ac:dyDescent="0.2">
      <c r="A356" s="2"/>
      <c r="B356" s="2"/>
      <c r="C356" s="2"/>
      <c r="D356" s="2"/>
      <c r="E356" s="2"/>
      <c r="F356" s="2"/>
      <c r="G356" s="2"/>
      <c r="H356" s="2"/>
      <c r="I356" s="2"/>
      <c r="J356" s="2"/>
    </row>
    <row r="357" spans="1:10" x14ac:dyDescent="0.2">
      <c r="A357" s="2"/>
      <c r="B357" s="2"/>
      <c r="C357" s="2"/>
      <c r="D357" s="2"/>
      <c r="E357" s="2"/>
      <c r="F357" s="2"/>
      <c r="G357" s="2"/>
      <c r="H357" s="2"/>
      <c r="I357" s="2"/>
      <c r="J357" s="2"/>
    </row>
    <row r="358" spans="1:10" x14ac:dyDescent="0.2">
      <c r="A358" s="2"/>
      <c r="B358" s="2"/>
      <c r="C358" s="2"/>
      <c r="D358" s="2"/>
      <c r="E358" s="2"/>
      <c r="F358" s="2"/>
      <c r="G358" s="2"/>
      <c r="H358" s="2"/>
      <c r="I358" s="2"/>
      <c r="J358" s="2"/>
    </row>
    <row r="359" spans="1:10" x14ac:dyDescent="0.2">
      <c r="A359" s="2"/>
      <c r="B359" s="2"/>
      <c r="C359" s="2"/>
      <c r="D359" s="2"/>
      <c r="E359" s="2"/>
      <c r="F359" s="2"/>
      <c r="G359" s="2"/>
      <c r="H359" s="2"/>
      <c r="I359" s="2"/>
      <c r="J359" s="2"/>
    </row>
    <row r="360" spans="1:10" x14ac:dyDescent="0.2">
      <c r="A360" s="2"/>
      <c r="B360" s="2"/>
      <c r="C360" s="2"/>
      <c r="D360" s="2"/>
      <c r="E360" s="2"/>
      <c r="F360" s="2"/>
      <c r="G360" s="2"/>
      <c r="H360" s="2"/>
      <c r="I360" s="2"/>
      <c r="J360" s="2"/>
    </row>
    <row r="361" spans="1:10" x14ac:dyDescent="0.2">
      <c r="A361" s="2"/>
      <c r="B361" s="2"/>
      <c r="C361" s="2"/>
      <c r="D361" s="2"/>
      <c r="E361" s="2"/>
      <c r="F361" s="2"/>
      <c r="G361" s="2"/>
      <c r="H361" s="2"/>
      <c r="I361" s="2"/>
      <c r="J361" s="2"/>
    </row>
    <row r="362" spans="1:10" x14ac:dyDescent="0.2">
      <c r="A362" s="2"/>
      <c r="B362" s="2"/>
      <c r="C362" s="2"/>
      <c r="D362" s="2"/>
      <c r="E362" s="2"/>
      <c r="F362" s="2"/>
      <c r="G362" s="2"/>
      <c r="H362" s="2"/>
      <c r="I362" s="2"/>
      <c r="J362" s="2"/>
    </row>
    <row r="363" spans="1:10" x14ac:dyDescent="0.2">
      <c r="A363" s="2"/>
      <c r="B363" s="2"/>
      <c r="C363" s="2"/>
      <c r="D363" s="2"/>
      <c r="E363" s="2"/>
      <c r="F363" s="2"/>
      <c r="G363" s="2"/>
      <c r="H363" s="2"/>
      <c r="I363" s="2"/>
      <c r="J363" s="2"/>
    </row>
    <row r="364" spans="1:10" x14ac:dyDescent="0.2">
      <c r="A364" s="2"/>
      <c r="B364" s="2"/>
      <c r="C364" s="2"/>
      <c r="D364" s="2"/>
      <c r="E364" s="2"/>
      <c r="F364" s="2"/>
      <c r="G364" s="2"/>
      <c r="H364" s="2"/>
      <c r="I364" s="2"/>
      <c r="J364" s="2"/>
    </row>
    <row r="365" spans="1:10" x14ac:dyDescent="0.2">
      <c r="A365" s="2"/>
      <c r="B365" s="2"/>
      <c r="C365" s="2"/>
      <c r="D365" s="2"/>
      <c r="E365" s="2"/>
      <c r="F365" s="2"/>
      <c r="G365" s="2"/>
      <c r="H365" s="2"/>
      <c r="I365" s="2"/>
      <c r="J365" s="2"/>
    </row>
    <row r="366" spans="1:10" x14ac:dyDescent="0.2">
      <c r="A366" s="2"/>
      <c r="B366" s="2"/>
      <c r="C366" s="2"/>
      <c r="D366" s="2"/>
      <c r="E366" s="2"/>
      <c r="F366" s="2"/>
      <c r="G366" s="2"/>
      <c r="H366" s="2"/>
      <c r="I366" s="2"/>
      <c r="J366" s="2"/>
    </row>
    <row r="367" spans="1:10" x14ac:dyDescent="0.2">
      <c r="A367" s="2"/>
      <c r="B367" s="2"/>
      <c r="C367" s="2"/>
      <c r="D367" s="2"/>
      <c r="E367" s="2"/>
      <c r="F367" s="2"/>
      <c r="G367" s="2"/>
      <c r="H367" s="2"/>
      <c r="I367" s="2"/>
      <c r="J367" s="2"/>
    </row>
    <row r="368" spans="1:10" x14ac:dyDescent="0.2">
      <c r="A368" s="2"/>
      <c r="B368" s="2"/>
      <c r="C368" s="2"/>
      <c r="D368" s="2"/>
      <c r="E368" s="2"/>
      <c r="F368" s="2"/>
      <c r="G368" s="2"/>
      <c r="H368" s="2"/>
      <c r="I368" s="2"/>
      <c r="J368" s="2"/>
    </row>
    <row r="369" spans="1:10" x14ac:dyDescent="0.2">
      <c r="A369" s="2"/>
      <c r="B369" s="2"/>
      <c r="C369" s="2"/>
      <c r="D369" s="2"/>
      <c r="E369" s="2"/>
      <c r="F369" s="2"/>
      <c r="G369" s="2"/>
      <c r="H369" s="2"/>
      <c r="I369" s="2"/>
      <c r="J369" s="2"/>
    </row>
    <row r="370" spans="1:10" x14ac:dyDescent="0.2">
      <c r="A370" s="2"/>
      <c r="B370" s="2"/>
      <c r="C370" s="2"/>
      <c r="D370" s="2"/>
      <c r="E370" s="2"/>
      <c r="F370" s="2"/>
      <c r="G370" s="2"/>
      <c r="H370" s="2"/>
      <c r="I370" s="2"/>
      <c r="J370" s="2"/>
    </row>
    <row r="371" spans="1:10" x14ac:dyDescent="0.2">
      <c r="A371" s="2"/>
      <c r="B371" s="2"/>
      <c r="C371" s="2"/>
      <c r="D371" s="2"/>
      <c r="E371" s="2"/>
      <c r="F371" s="2"/>
      <c r="G371" s="2"/>
      <c r="H371" s="2"/>
      <c r="I371" s="2"/>
      <c r="J371" s="2"/>
    </row>
    <row r="372" spans="1:10" x14ac:dyDescent="0.2">
      <c r="A372" s="2"/>
      <c r="B372" s="2"/>
      <c r="C372" s="2"/>
      <c r="D372" s="2"/>
      <c r="E372" s="2"/>
      <c r="F372" s="2"/>
      <c r="G372" s="2"/>
      <c r="H372" s="2"/>
      <c r="I372" s="2"/>
      <c r="J372" s="2"/>
    </row>
    <row r="373" spans="1:10" x14ac:dyDescent="0.2">
      <c r="A373" s="2"/>
      <c r="B373" s="2"/>
      <c r="C373" s="2"/>
      <c r="D373" s="2"/>
      <c r="E373" s="2"/>
      <c r="F373" s="2"/>
      <c r="G373" s="2"/>
      <c r="H373" s="2"/>
      <c r="I373" s="2"/>
      <c r="J373" s="2"/>
    </row>
    <row r="374" spans="1:10" x14ac:dyDescent="0.2">
      <c r="A374" s="2"/>
      <c r="B374" s="2"/>
      <c r="C374" s="2"/>
      <c r="D374" s="2"/>
      <c r="E374" s="2"/>
      <c r="F374" s="2"/>
      <c r="G374" s="2"/>
      <c r="H374" s="2"/>
      <c r="I374" s="2"/>
      <c r="J374" s="2"/>
    </row>
    <row r="375" spans="1:10" x14ac:dyDescent="0.2">
      <c r="A375" s="2"/>
      <c r="B375" s="2"/>
      <c r="C375" s="2"/>
      <c r="D375" s="2"/>
      <c r="E375" s="2"/>
      <c r="F375" s="2"/>
      <c r="G375" s="2"/>
      <c r="H375" s="2"/>
      <c r="I375" s="2"/>
      <c r="J375" s="2"/>
    </row>
    <row r="376" spans="1:10" x14ac:dyDescent="0.2">
      <c r="A376" s="2"/>
      <c r="B376" s="2"/>
      <c r="C376" s="2"/>
      <c r="D376" s="2"/>
      <c r="E376" s="2"/>
      <c r="F376" s="2"/>
      <c r="G376" s="2"/>
      <c r="H376" s="2"/>
      <c r="I376" s="2"/>
      <c r="J376" s="2"/>
    </row>
    <row r="377" spans="1:10" x14ac:dyDescent="0.2">
      <c r="A377" s="2"/>
      <c r="B377" s="2"/>
      <c r="C377" s="2"/>
      <c r="D377" s="2"/>
      <c r="E377" s="2"/>
      <c r="F377" s="2"/>
      <c r="G377" s="2"/>
      <c r="H377" s="2"/>
      <c r="I377" s="2"/>
      <c r="J377" s="2"/>
    </row>
    <row r="378" spans="1:10" x14ac:dyDescent="0.2">
      <c r="A378" s="2"/>
      <c r="B378" s="2"/>
      <c r="C378" s="2"/>
      <c r="D378" s="2"/>
      <c r="E378" s="2"/>
      <c r="F378" s="2"/>
      <c r="G378" s="2"/>
      <c r="H378" s="2"/>
      <c r="I378" s="2"/>
      <c r="J378" s="2"/>
    </row>
    <row r="379" spans="1:10" x14ac:dyDescent="0.2">
      <c r="A379" s="2"/>
      <c r="B379" s="2"/>
      <c r="C379" s="2"/>
      <c r="D379" s="2"/>
      <c r="E379" s="2"/>
      <c r="F379" s="2"/>
      <c r="G379" s="2"/>
      <c r="H379" s="2"/>
      <c r="I379" s="2"/>
      <c r="J379" s="2"/>
    </row>
    <row r="380" spans="1:10" x14ac:dyDescent="0.2">
      <c r="A380" s="2"/>
      <c r="B380" s="2"/>
      <c r="C380" s="2"/>
      <c r="D380" s="2"/>
      <c r="E380" s="2"/>
      <c r="F380" s="2"/>
      <c r="G380" s="2"/>
      <c r="H380" s="2"/>
      <c r="I380" s="2"/>
      <c r="J380" s="2"/>
    </row>
    <row r="381" spans="1:10" x14ac:dyDescent="0.2">
      <c r="A381" s="2"/>
      <c r="B381" s="2"/>
      <c r="C381" s="2"/>
      <c r="D381" s="2"/>
      <c r="E381" s="2"/>
      <c r="F381" s="2"/>
      <c r="G381" s="2"/>
      <c r="H381" s="2"/>
      <c r="I381" s="2"/>
      <c r="J381" s="2"/>
    </row>
    <row r="382" spans="1:10" x14ac:dyDescent="0.2">
      <c r="A382" s="2"/>
      <c r="B382" s="2"/>
      <c r="C382" s="2"/>
      <c r="D382" s="2"/>
      <c r="E382" s="2"/>
      <c r="F382" s="2"/>
      <c r="G382" s="2"/>
      <c r="H382" s="2"/>
      <c r="I382" s="2"/>
      <c r="J382" s="2"/>
    </row>
    <row r="383" spans="1:10" x14ac:dyDescent="0.2">
      <c r="A383" s="2"/>
      <c r="B383" s="2"/>
      <c r="C383" s="2"/>
      <c r="D383" s="2"/>
      <c r="E383" s="2"/>
      <c r="F383" s="2"/>
      <c r="G383" s="2"/>
      <c r="H383" s="2"/>
      <c r="I383" s="2"/>
      <c r="J383" s="2"/>
    </row>
    <row r="384" spans="1:10" x14ac:dyDescent="0.2">
      <c r="A384" s="2"/>
      <c r="B384" s="2"/>
      <c r="C384" s="2"/>
      <c r="D384" s="2"/>
      <c r="E384" s="2"/>
      <c r="F384" s="2"/>
      <c r="G384" s="2"/>
      <c r="H384" s="2"/>
      <c r="I384" s="2"/>
      <c r="J384" s="2"/>
    </row>
    <row r="385" spans="1:10" x14ac:dyDescent="0.2">
      <c r="A385" s="2"/>
      <c r="B385" s="2"/>
      <c r="C385" s="2"/>
      <c r="D385" s="2"/>
      <c r="E385" s="2"/>
      <c r="F385" s="2"/>
      <c r="G385" s="2"/>
      <c r="H385" s="2"/>
      <c r="I385" s="2"/>
      <c r="J385" s="2"/>
    </row>
    <row r="386" spans="1:10" x14ac:dyDescent="0.2">
      <c r="A386" s="2"/>
      <c r="B386" s="2"/>
      <c r="C386" s="2"/>
      <c r="D386" s="2"/>
      <c r="E386" s="2"/>
      <c r="F386" s="2"/>
      <c r="G386" s="2"/>
      <c r="H386" s="2"/>
      <c r="I386" s="2"/>
      <c r="J386" s="2"/>
    </row>
    <row r="387" spans="1:10" x14ac:dyDescent="0.2">
      <c r="A387" s="2"/>
      <c r="B387" s="2"/>
      <c r="C387" s="2"/>
      <c r="D387" s="2"/>
      <c r="E387" s="2"/>
      <c r="F387" s="2"/>
      <c r="G387" s="2"/>
      <c r="H387" s="2"/>
      <c r="I387" s="2"/>
      <c r="J387" s="2"/>
    </row>
    <row r="388" spans="1:10" x14ac:dyDescent="0.2">
      <c r="A388" s="2"/>
      <c r="B388" s="2"/>
      <c r="C388" s="2"/>
      <c r="D388" s="2"/>
      <c r="E388" s="2"/>
      <c r="F388" s="2"/>
      <c r="G388" s="2"/>
      <c r="H388" s="2"/>
      <c r="I388" s="2"/>
      <c r="J388" s="2"/>
    </row>
    <row r="389" spans="1:10" x14ac:dyDescent="0.2">
      <c r="A389" s="2"/>
      <c r="B389" s="2"/>
      <c r="C389" s="2"/>
      <c r="D389" s="2"/>
      <c r="E389" s="2"/>
      <c r="F389" s="2"/>
      <c r="G389" s="2"/>
      <c r="H389" s="2"/>
      <c r="I389" s="2"/>
      <c r="J389" s="2"/>
    </row>
    <row r="390" spans="1:10" x14ac:dyDescent="0.2">
      <c r="A390" s="2"/>
      <c r="B390" s="2"/>
      <c r="C390" s="2"/>
      <c r="D390" s="2"/>
      <c r="E390" s="2"/>
      <c r="F390" s="2"/>
      <c r="G390" s="2"/>
      <c r="H390" s="2"/>
      <c r="I390" s="2"/>
      <c r="J390" s="2"/>
    </row>
    <row r="391" spans="1:10" x14ac:dyDescent="0.2">
      <c r="A391" s="2"/>
      <c r="B391" s="2"/>
      <c r="C391" s="2"/>
      <c r="D391" s="2"/>
      <c r="E391" s="2"/>
      <c r="F391" s="2"/>
      <c r="G391" s="2"/>
      <c r="H391" s="2"/>
      <c r="I391" s="2"/>
      <c r="J391" s="2"/>
    </row>
    <row r="392" spans="1:10" x14ac:dyDescent="0.2">
      <c r="A392" s="2"/>
      <c r="B392" s="2"/>
      <c r="C392" s="2"/>
      <c r="D392" s="2"/>
      <c r="E392" s="2"/>
      <c r="F392" s="2"/>
      <c r="G392" s="2"/>
      <c r="H392" s="2"/>
      <c r="I392" s="2"/>
      <c r="J392" s="2"/>
    </row>
    <row r="393" spans="1:10" x14ac:dyDescent="0.2">
      <c r="A393" s="2"/>
      <c r="B393" s="2"/>
      <c r="C393" s="2"/>
      <c r="D393" s="2"/>
      <c r="E393" s="2"/>
      <c r="F393" s="2"/>
      <c r="G393" s="2"/>
      <c r="H393" s="2"/>
      <c r="I393" s="2"/>
      <c r="J393" s="2"/>
    </row>
    <row r="394" spans="1:10" x14ac:dyDescent="0.2">
      <c r="A394" s="2"/>
      <c r="B394" s="2"/>
      <c r="C394" s="2"/>
      <c r="D394" s="2"/>
      <c r="E394" s="2"/>
      <c r="F394" s="2"/>
      <c r="G394" s="2"/>
      <c r="H394" s="2"/>
      <c r="I394" s="2"/>
      <c r="J394" s="2"/>
    </row>
    <row r="395" spans="1:10" x14ac:dyDescent="0.2">
      <c r="A395" s="2"/>
      <c r="B395" s="2"/>
      <c r="C395" s="2"/>
      <c r="D395" s="2"/>
      <c r="E395" s="2"/>
      <c r="F395" s="2"/>
      <c r="G395" s="2"/>
      <c r="H395" s="2"/>
      <c r="I395" s="2"/>
      <c r="J395" s="2"/>
    </row>
    <row r="396" spans="1:10" x14ac:dyDescent="0.2">
      <c r="A396" s="2"/>
      <c r="B396" s="2"/>
      <c r="C396" s="2"/>
      <c r="D396" s="2"/>
      <c r="E396" s="2"/>
      <c r="F396" s="2"/>
      <c r="G396" s="2"/>
      <c r="H396" s="2"/>
      <c r="I396" s="2"/>
      <c r="J396" s="2"/>
    </row>
    <row r="397" spans="1:10" x14ac:dyDescent="0.2">
      <c r="A397" s="2"/>
      <c r="B397" s="2"/>
      <c r="C397" s="2"/>
      <c r="D397" s="2"/>
      <c r="E397" s="2"/>
      <c r="F397" s="2"/>
      <c r="G397" s="2"/>
      <c r="H397" s="2"/>
      <c r="I397" s="2"/>
      <c r="J397" s="2"/>
    </row>
    <row r="398" spans="1:10" x14ac:dyDescent="0.2">
      <c r="A398" s="2"/>
      <c r="B398" s="2"/>
      <c r="C398" s="2"/>
      <c r="D398" s="2"/>
      <c r="E398" s="2"/>
      <c r="F398" s="2"/>
      <c r="G398" s="2"/>
      <c r="H398" s="2"/>
      <c r="I398" s="2"/>
      <c r="J398" s="2"/>
    </row>
    <row r="399" spans="1:10" x14ac:dyDescent="0.2">
      <c r="A399" s="2"/>
      <c r="B399" s="2"/>
      <c r="C399" s="2"/>
      <c r="D399" s="2"/>
      <c r="E399" s="2"/>
      <c r="F399" s="2"/>
      <c r="G399" s="2"/>
      <c r="H399" s="2"/>
      <c r="I399" s="2"/>
      <c r="J399" s="2"/>
    </row>
    <row r="400" spans="1:10" x14ac:dyDescent="0.2">
      <c r="A400" s="2"/>
      <c r="B400" s="2"/>
      <c r="C400" s="2"/>
      <c r="D400" s="2"/>
      <c r="E400" s="2"/>
      <c r="F400" s="2"/>
      <c r="G400" s="2"/>
      <c r="H400" s="2"/>
      <c r="I400" s="2"/>
      <c r="J400" s="2"/>
    </row>
    <row r="401" spans="1:10" x14ac:dyDescent="0.2">
      <c r="A401" s="2"/>
      <c r="B401" s="2"/>
      <c r="C401" s="2"/>
      <c r="D401" s="2"/>
      <c r="E401" s="2"/>
      <c r="F401" s="2"/>
      <c r="G401" s="2"/>
      <c r="H401" s="2"/>
      <c r="I401" s="2"/>
      <c r="J401" s="2"/>
    </row>
    <row r="402" spans="1:10" x14ac:dyDescent="0.2">
      <c r="A402" s="2"/>
      <c r="B402" s="2"/>
      <c r="C402" s="2"/>
      <c r="D402" s="2"/>
      <c r="E402" s="2"/>
      <c r="F402" s="2"/>
      <c r="G402" s="2"/>
      <c r="H402" s="2"/>
      <c r="I402" s="2"/>
      <c r="J402" s="2"/>
    </row>
    <row r="403" spans="1:10" x14ac:dyDescent="0.2">
      <c r="A403" s="2"/>
      <c r="B403" s="2"/>
      <c r="C403" s="2"/>
      <c r="D403" s="2"/>
      <c r="E403" s="2"/>
      <c r="F403" s="2"/>
      <c r="G403" s="2"/>
      <c r="H403" s="2"/>
      <c r="I403" s="2"/>
      <c r="J403" s="2"/>
    </row>
    <row r="404" spans="1:10" x14ac:dyDescent="0.2">
      <c r="A404" s="2"/>
      <c r="B404" s="2"/>
      <c r="C404" s="2"/>
      <c r="D404" s="2"/>
      <c r="E404" s="2"/>
      <c r="F404" s="2"/>
      <c r="G404" s="2"/>
      <c r="H404" s="2"/>
      <c r="I404" s="2"/>
      <c r="J404" s="2"/>
    </row>
    <row r="405" spans="1:10" x14ac:dyDescent="0.2">
      <c r="A405" s="2"/>
      <c r="B405" s="2"/>
      <c r="C405" s="2"/>
      <c r="D405" s="2"/>
      <c r="E405" s="2"/>
      <c r="F405" s="2"/>
      <c r="G405" s="2"/>
      <c r="H405" s="2"/>
      <c r="I405" s="2"/>
      <c r="J405" s="2"/>
    </row>
    <row r="406" spans="1:10" x14ac:dyDescent="0.2">
      <c r="A406" s="2"/>
      <c r="B406" s="2"/>
      <c r="C406" s="2"/>
      <c r="D406" s="2"/>
      <c r="E406" s="2"/>
      <c r="F406" s="2"/>
      <c r="G406" s="2"/>
      <c r="H406" s="2"/>
      <c r="I406" s="2"/>
      <c r="J406" s="2"/>
    </row>
    <row r="407" spans="1:10" x14ac:dyDescent="0.2">
      <c r="A407" s="2"/>
      <c r="B407" s="2"/>
      <c r="C407" s="2"/>
      <c r="D407" s="2"/>
      <c r="E407" s="2"/>
      <c r="F407" s="2"/>
      <c r="G407" s="2"/>
      <c r="H407" s="2"/>
      <c r="I407" s="2"/>
      <c r="J407" s="2"/>
    </row>
    <row r="408" spans="1:10" x14ac:dyDescent="0.2">
      <c r="A408" s="2"/>
      <c r="B408" s="2"/>
      <c r="C408" s="2"/>
      <c r="D408" s="2"/>
      <c r="E408" s="2"/>
      <c r="F408" s="2"/>
      <c r="G408" s="2"/>
      <c r="H408" s="2"/>
      <c r="I408" s="2"/>
      <c r="J408" s="2"/>
    </row>
    <row r="409" spans="1:10" x14ac:dyDescent="0.2">
      <c r="A409" s="2"/>
      <c r="B409" s="2"/>
      <c r="C409" s="2"/>
      <c r="D409" s="2"/>
      <c r="E409" s="2"/>
      <c r="F409" s="2"/>
      <c r="G409" s="2"/>
      <c r="H409" s="2"/>
      <c r="I409" s="2"/>
      <c r="J409" s="2"/>
    </row>
    <row r="410" spans="1:10" x14ac:dyDescent="0.2">
      <c r="A410" s="2"/>
      <c r="B410" s="2"/>
      <c r="C410" s="2"/>
      <c r="D410" s="2"/>
      <c r="E410" s="2"/>
      <c r="F410" s="2"/>
      <c r="G410" s="2"/>
      <c r="H410" s="2"/>
      <c r="I410" s="2"/>
      <c r="J410" s="2"/>
    </row>
    <row r="411" spans="1:10" x14ac:dyDescent="0.2">
      <c r="A411" s="2"/>
      <c r="B411" s="2"/>
      <c r="C411" s="2"/>
      <c r="D411" s="2"/>
      <c r="E411" s="2"/>
      <c r="F411" s="2"/>
      <c r="G411" s="2"/>
      <c r="H411" s="2"/>
      <c r="I411" s="2"/>
      <c r="J411" s="2"/>
    </row>
    <row r="412" spans="1:10" x14ac:dyDescent="0.2">
      <c r="A412" s="2"/>
      <c r="B412" s="2"/>
      <c r="C412" s="2"/>
      <c r="D412" s="2"/>
      <c r="E412" s="2"/>
      <c r="F412" s="2"/>
      <c r="G412" s="2"/>
      <c r="H412" s="2"/>
      <c r="I412" s="2"/>
      <c r="J412" s="2"/>
    </row>
    <row r="413" spans="1:10" x14ac:dyDescent="0.2">
      <c r="A413" s="2"/>
      <c r="B413" s="2"/>
      <c r="C413" s="2"/>
      <c r="D413" s="2"/>
      <c r="E413" s="2"/>
      <c r="F413" s="2"/>
      <c r="G413" s="2"/>
      <c r="H413" s="2"/>
      <c r="I413" s="2"/>
      <c r="J413" s="2"/>
    </row>
    <row r="414" spans="1:10" x14ac:dyDescent="0.2">
      <c r="A414" s="2"/>
      <c r="B414" s="2"/>
      <c r="C414" s="2"/>
      <c r="D414" s="2"/>
      <c r="E414" s="2"/>
      <c r="F414" s="2"/>
      <c r="G414" s="2"/>
      <c r="H414" s="2"/>
      <c r="I414" s="2"/>
      <c r="J414" s="2"/>
    </row>
    <row r="415" spans="1:10" x14ac:dyDescent="0.2">
      <c r="A415" s="2"/>
      <c r="B415" s="2"/>
      <c r="C415" s="2"/>
      <c r="D415" s="2"/>
      <c r="E415" s="2"/>
      <c r="F415" s="2"/>
      <c r="G415" s="2"/>
      <c r="H415" s="2"/>
      <c r="I415" s="2"/>
      <c r="J415" s="2"/>
    </row>
    <row r="416" spans="1:10" x14ac:dyDescent="0.2">
      <c r="A416" s="2"/>
      <c r="B416" s="2"/>
      <c r="C416" s="2"/>
      <c r="D416" s="2"/>
      <c r="E416" s="2"/>
      <c r="F416" s="2"/>
      <c r="G416" s="2"/>
      <c r="H416" s="2"/>
      <c r="I416" s="2"/>
      <c r="J416" s="2"/>
    </row>
    <row r="417" spans="1:10" x14ac:dyDescent="0.2">
      <c r="A417" s="2"/>
      <c r="B417" s="2"/>
      <c r="C417" s="2"/>
      <c r="D417" s="2"/>
      <c r="E417" s="2"/>
      <c r="F417" s="2"/>
      <c r="G417" s="2"/>
      <c r="H417" s="2"/>
      <c r="I417" s="2"/>
      <c r="J417" s="2"/>
    </row>
    <row r="418" spans="1:10" x14ac:dyDescent="0.2">
      <c r="A418" s="2"/>
      <c r="B418" s="2"/>
      <c r="C418" s="2"/>
      <c r="D418" s="2"/>
      <c r="E418" s="2"/>
      <c r="F418" s="2"/>
      <c r="G418" s="2"/>
      <c r="H418" s="2"/>
      <c r="I418" s="2"/>
      <c r="J418" s="2"/>
    </row>
    <row r="419" spans="1:10" x14ac:dyDescent="0.2">
      <c r="A419" s="2"/>
      <c r="B419" s="2"/>
      <c r="C419" s="2"/>
      <c r="D419" s="2"/>
      <c r="E419" s="2"/>
      <c r="F419" s="2"/>
      <c r="G419" s="2"/>
      <c r="H419" s="2"/>
      <c r="I419" s="2"/>
      <c r="J419" s="2"/>
    </row>
    <row r="420" spans="1:10" x14ac:dyDescent="0.2">
      <c r="A420" s="2"/>
      <c r="B420" s="2"/>
      <c r="C420" s="2"/>
      <c r="D420" s="2"/>
      <c r="E420" s="2"/>
      <c r="F420" s="2"/>
      <c r="G420" s="2"/>
      <c r="H420" s="2"/>
      <c r="I420" s="2"/>
      <c r="J420" s="2"/>
    </row>
    <row r="421" spans="1:10" x14ac:dyDescent="0.2">
      <c r="A421" s="2"/>
      <c r="B421" s="2"/>
      <c r="C421" s="2"/>
      <c r="D421" s="2"/>
      <c r="E421" s="2"/>
      <c r="F421" s="2"/>
      <c r="G421" s="2"/>
      <c r="H421" s="2"/>
      <c r="I421" s="2"/>
      <c r="J421" s="2"/>
    </row>
    <row r="422" spans="1:10" x14ac:dyDescent="0.2">
      <c r="A422" s="2"/>
      <c r="B422" s="2"/>
      <c r="C422" s="2"/>
      <c r="D422" s="2"/>
      <c r="E422" s="2"/>
      <c r="F422" s="2"/>
      <c r="G422" s="2"/>
      <c r="H422" s="2"/>
      <c r="I422" s="2"/>
      <c r="J422" s="2"/>
    </row>
    <row r="423" spans="1:10" x14ac:dyDescent="0.2">
      <c r="A423" s="2"/>
      <c r="B423" s="2"/>
      <c r="C423" s="2"/>
      <c r="D423" s="2"/>
      <c r="E423" s="2"/>
      <c r="F423" s="2"/>
      <c r="G423" s="2"/>
      <c r="H423" s="2"/>
      <c r="I423" s="2"/>
      <c r="J423" s="2"/>
    </row>
    <row r="424" spans="1:10" x14ac:dyDescent="0.2">
      <c r="A424" s="2"/>
      <c r="B424" s="2"/>
      <c r="C424" s="2"/>
      <c r="D424" s="2"/>
      <c r="E424" s="2"/>
      <c r="F424" s="2"/>
      <c r="G424" s="2"/>
      <c r="H424" s="2"/>
      <c r="I424" s="2"/>
      <c r="J424" s="2"/>
    </row>
    <row r="425" spans="1:10" x14ac:dyDescent="0.2">
      <c r="A425" s="2"/>
      <c r="B425" s="2"/>
      <c r="C425" s="2"/>
      <c r="D425" s="2"/>
      <c r="E425" s="2"/>
      <c r="F425" s="2"/>
      <c r="G425" s="2"/>
      <c r="H425" s="2"/>
      <c r="I425" s="2"/>
      <c r="J425" s="2"/>
    </row>
    <row r="426" spans="1:10" x14ac:dyDescent="0.2">
      <c r="A426" s="2"/>
      <c r="B426" s="2"/>
      <c r="C426" s="2"/>
      <c r="D426" s="2"/>
      <c r="E426" s="2"/>
      <c r="F426" s="2"/>
      <c r="G426" s="2"/>
      <c r="H426" s="2"/>
      <c r="I426" s="2"/>
      <c r="J426" s="2"/>
    </row>
    <row r="427" spans="1:10" x14ac:dyDescent="0.2">
      <c r="A427" s="2"/>
      <c r="B427" s="2"/>
      <c r="C427" s="2"/>
      <c r="D427" s="2"/>
      <c r="E427" s="2"/>
      <c r="F427" s="2"/>
      <c r="G427" s="2"/>
      <c r="H427" s="2"/>
      <c r="I427" s="2"/>
      <c r="J427" s="2"/>
    </row>
    <row r="428" spans="1:10" x14ac:dyDescent="0.2">
      <c r="A428" s="2"/>
      <c r="B428" s="2"/>
      <c r="C428" s="2"/>
      <c r="D428" s="2"/>
      <c r="E428" s="2"/>
      <c r="F428" s="2"/>
      <c r="G428" s="2"/>
      <c r="H428" s="2"/>
      <c r="I428" s="2"/>
      <c r="J428" s="2"/>
    </row>
    <row r="429" spans="1:10" x14ac:dyDescent="0.2">
      <c r="A429" s="2"/>
      <c r="B429" s="2"/>
      <c r="C429" s="2"/>
      <c r="D429" s="2"/>
      <c r="E429" s="2"/>
      <c r="F429" s="2"/>
      <c r="G429" s="2"/>
      <c r="H429" s="2"/>
      <c r="I429" s="2"/>
      <c r="J429" s="2"/>
    </row>
    <row r="430" spans="1:10" x14ac:dyDescent="0.2">
      <c r="A430" s="2"/>
      <c r="B430" s="2"/>
      <c r="C430" s="2"/>
      <c r="D430" s="2"/>
      <c r="E430" s="2"/>
      <c r="F430" s="2"/>
      <c r="G430" s="2"/>
      <c r="H430" s="2"/>
      <c r="I430" s="2"/>
      <c r="J430" s="2"/>
    </row>
    <row r="431" spans="1:10" x14ac:dyDescent="0.2">
      <c r="A431" s="2"/>
      <c r="B431" s="2"/>
      <c r="C431" s="2"/>
      <c r="D431" s="2"/>
      <c r="E431" s="2"/>
      <c r="F431" s="2"/>
      <c r="G431" s="2"/>
      <c r="H431" s="2"/>
      <c r="I431" s="2"/>
      <c r="J431" s="2"/>
    </row>
    <row r="432" spans="1:10" x14ac:dyDescent="0.2">
      <c r="A432" s="2"/>
      <c r="B432" s="2"/>
      <c r="C432" s="2"/>
      <c r="D432" s="2"/>
      <c r="E432" s="2"/>
      <c r="F432" s="2"/>
      <c r="G432" s="2"/>
      <c r="H432" s="2"/>
      <c r="I432" s="2"/>
      <c r="J432" s="2"/>
    </row>
    <row r="433" spans="1:10" x14ac:dyDescent="0.2">
      <c r="A433" s="2"/>
      <c r="B433" s="2"/>
      <c r="C433" s="2"/>
      <c r="D433" s="2"/>
      <c r="E433" s="2"/>
      <c r="F433" s="2"/>
      <c r="G433" s="2"/>
      <c r="H433" s="2"/>
      <c r="I433" s="2"/>
      <c r="J433" s="2"/>
    </row>
    <row r="434" spans="1:10" x14ac:dyDescent="0.2">
      <c r="A434" s="2"/>
      <c r="B434" s="2"/>
      <c r="C434" s="2"/>
      <c r="D434" s="2"/>
      <c r="E434" s="2"/>
      <c r="F434" s="2"/>
      <c r="G434" s="2"/>
      <c r="H434" s="2"/>
      <c r="I434" s="2"/>
      <c r="J434" s="2"/>
    </row>
    <row r="435" spans="1:10" x14ac:dyDescent="0.2">
      <c r="A435" s="2"/>
      <c r="B435" s="2"/>
      <c r="C435" s="2"/>
      <c r="D435" s="2"/>
      <c r="E435" s="2"/>
      <c r="F435" s="2"/>
      <c r="G435" s="2"/>
      <c r="H435" s="2"/>
      <c r="I435" s="2"/>
      <c r="J435" s="2"/>
    </row>
    <row r="436" spans="1:10" x14ac:dyDescent="0.2">
      <c r="A436" s="2"/>
      <c r="B436" s="2"/>
      <c r="C436" s="2"/>
      <c r="D436" s="2"/>
      <c r="E436" s="2"/>
      <c r="F436" s="2"/>
      <c r="G436" s="2"/>
      <c r="H436" s="2"/>
      <c r="I436" s="2"/>
      <c r="J436" s="2"/>
    </row>
    <row r="437" spans="1:10" x14ac:dyDescent="0.2">
      <c r="A437" s="2"/>
      <c r="B437" s="2"/>
      <c r="C437" s="2"/>
      <c r="D437" s="2"/>
      <c r="E437" s="2"/>
      <c r="F437" s="2"/>
      <c r="G437" s="2"/>
      <c r="H437" s="2"/>
      <c r="I437" s="2"/>
      <c r="J437" s="2"/>
    </row>
    <row r="438" spans="1:10" x14ac:dyDescent="0.2">
      <c r="A438" s="2"/>
      <c r="B438" s="2"/>
      <c r="C438" s="2"/>
      <c r="D438" s="2"/>
      <c r="E438" s="2"/>
      <c r="F438" s="2"/>
      <c r="G438" s="2"/>
      <c r="H438" s="2"/>
      <c r="I438" s="2"/>
      <c r="J438" s="2"/>
    </row>
    <row r="439" spans="1:10" x14ac:dyDescent="0.2">
      <c r="A439" s="2"/>
      <c r="B439" s="2"/>
      <c r="C439" s="2"/>
      <c r="D439" s="2"/>
      <c r="E439" s="2"/>
      <c r="F439" s="2"/>
      <c r="G439" s="2"/>
      <c r="H439" s="2"/>
      <c r="I439" s="2"/>
      <c r="J439" s="2"/>
    </row>
    <row r="440" spans="1:10" x14ac:dyDescent="0.2">
      <c r="A440" s="2"/>
      <c r="B440" s="2"/>
      <c r="C440" s="2"/>
      <c r="D440" s="2"/>
      <c r="E440" s="2"/>
      <c r="F440" s="2"/>
      <c r="G440" s="2"/>
      <c r="H440" s="2"/>
      <c r="I440" s="2"/>
      <c r="J440" s="2"/>
    </row>
    <row r="441" spans="1:10" x14ac:dyDescent="0.2">
      <c r="A441" s="2"/>
      <c r="B441" s="2"/>
      <c r="C441" s="2"/>
      <c r="D441" s="2"/>
      <c r="E441" s="2"/>
      <c r="F441" s="2"/>
      <c r="G441" s="2"/>
      <c r="H441" s="2"/>
      <c r="I441" s="2"/>
      <c r="J441" s="2"/>
    </row>
    <row r="442" spans="1:10" x14ac:dyDescent="0.2">
      <c r="A442" s="2"/>
      <c r="B442" s="2"/>
      <c r="C442" s="2"/>
      <c r="D442" s="2"/>
      <c r="E442" s="2"/>
      <c r="F442" s="2"/>
      <c r="G442" s="2"/>
      <c r="H442" s="2"/>
      <c r="I442" s="2"/>
      <c r="J442" s="2"/>
    </row>
    <row r="443" spans="1:10" x14ac:dyDescent="0.2">
      <c r="A443" s="2"/>
      <c r="B443" s="2"/>
      <c r="C443" s="2"/>
      <c r="D443" s="2"/>
      <c r="E443" s="2"/>
      <c r="F443" s="2"/>
      <c r="G443" s="2"/>
      <c r="H443" s="2"/>
      <c r="I443" s="2"/>
      <c r="J443" s="2"/>
    </row>
    <row r="444" spans="1:10" x14ac:dyDescent="0.2">
      <c r="A444" s="2"/>
      <c r="B444" s="2"/>
      <c r="C444" s="2"/>
      <c r="D444" s="2"/>
      <c r="E444" s="2"/>
      <c r="F444" s="2"/>
      <c r="G444" s="2"/>
      <c r="H444" s="2"/>
      <c r="I444" s="2"/>
      <c r="J444" s="2"/>
    </row>
    <row r="445" spans="1:10" x14ac:dyDescent="0.2">
      <c r="A445" s="2"/>
      <c r="B445" s="2"/>
      <c r="C445" s="2"/>
      <c r="D445" s="2"/>
      <c r="E445" s="2"/>
      <c r="F445" s="2"/>
      <c r="G445" s="2"/>
      <c r="H445" s="2"/>
      <c r="I445" s="2"/>
      <c r="J445" s="2"/>
    </row>
    <row r="446" spans="1:10" x14ac:dyDescent="0.2">
      <c r="A446" s="2"/>
      <c r="B446" s="2"/>
      <c r="C446" s="2"/>
      <c r="D446" s="2"/>
      <c r="E446" s="2"/>
      <c r="F446" s="2"/>
      <c r="G446" s="2"/>
      <c r="H446" s="2"/>
      <c r="I446" s="2"/>
      <c r="J446" s="2"/>
    </row>
    <row r="447" spans="1:10" x14ac:dyDescent="0.2">
      <c r="A447" s="2"/>
      <c r="B447" s="2"/>
      <c r="C447" s="2"/>
      <c r="D447" s="2"/>
      <c r="E447" s="2"/>
      <c r="F447" s="2"/>
      <c r="G447" s="2"/>
      <c r="H447" s="2"/>
      <c r="I447" s="2"/>
      <c r="J447" s="2"/>
    </row>
    <row r="448" spans="1:10" x14ac:dyDescent="0.2">
      <c r="A448" s="2"/>
      <c r="B448" s="2"/>
      <c r="C448" s="2"/>
      <c r="D448" s="2"/>
      <c r="E448" s="2"/>
      <c r="F448" s="2"/>
      <c r="G448" s="2"/>
      <c r="H448" s="2"/>
      <c r="I448" s="2"/>
      <c r="J448" s="2"/>
    </row>
    <row r="449" spans="1:10" x14ac:dyDescent="0.2">
      <c r="A449" s="2"/>
      <c r="B449" s="2"/>
      <c r="C449" s="2"/>
      <c r="D449" s="2"/>
      <c r="E449" s="2"/>
      <c r="F449" s="2"/>
      <c r="G449" s="2"/>
      <c r="H449" s="2"/>
      <c r="I449" s="2"/>
      <c r="J449" s="2"/>
    </row>
    <row r="450" spans="1:10" x14ac:dyDescent="0.2">
      <c r="A450" s="2"/>
      <c r="B450" s="2"/>
      <c r="C450" s="2"/>
      <c r="D450" s="2"/>
      <c r="E450" s="2"/>
      <c r="F450" s="2"/>
      <c r="G450" s="2"/>
      <c r="H450" s="2"/>
      <c r="I450" s="2"/>
      <c r="J450" s="2"/>
    </row>
    <row r="451" spans="1:10" x14ac:dyDescent="0.2">
      <c r="A451" s="2"/>
      <c r="B451" s="2"/>
      <c r="C451" s="2"/>
      <c r="D451" s="2"/>
      <c r="E451" s="2"/>
      <c r="F451" s="2"/>
      <c r="G451" s="2"/>
      <c r="H451" s="2"/>
      <c r="I451" s="2"/>
      <c r="J451" s="2"/>
    </row>
    <row r="452" spans="1:10" x14ac:dyDescent="0.2">
      <c r="A452" s="2"/>
      <c r="B452" s="2"/>
      <c r="C452" s="2"/>
      <c r="D452" s="2"/>
      <c r="E452" s="2"/>
      <c r="F452" s="2"/>
      <c r="G452" s="2"/>
      <c r="H452" s="2"/>
      <c r="I452" s="2"/>
      <c r="J452" s="2"/>
    </row>
    <row r="453" spans="1:10" x14ac:dyDescent="0.2">
      <c r="A453" s="2"/>
      <c r="B453" s="2"/>
      <c r="C453" s="2"/>
      <c r="D453" s="2"/>
      <c r="E453" s="2"/>
      <c r="F453" s="2"/>
      <c r="G453" s="2"/>
      <c r="H453" s="2"/>
      <c r="I453" s="2"/>
      <c r="J453" s="2"/>
    </row>
    <row r="454" spans="1:10" x14ac:dyDescent="0.2">
      <c r="A454" s="2"/>
      <c r="B454" s="2"/>
      <c r="C454" s="2"/>
      <c r="D454" s="2"/>
      <c r="E454" s="2"/>
      <c r="F454" s="2"/>
      <c r="G454" s="2"/>
      <c r="H454" s="2"/>
      <c r="I454" s="2"/>
      <c r="J454" s="2"/>
    </row>
    <row r="455" spans="1:10" x14ac:dyDescent="0.2">
      <c r="A455" s="2"/>
      <c r="B455" s="2"/>
      <c r="C455" s="2"/>
      <c r="D455" s="2"/>
      <c r="E455" s="2"/>
      <c r="F455" s="2"/>
      <c r="G455" s="2"/>
      <c r="H455" s="2"/>
      <c r="I455" s="2"/>
      <c r="J455" s="2"/>
    </row>
    <row r="456" spans="1:10" x14ac:dyDescent="0.2">
      <c r="A456" s="2"/>
      <c r="B456" s="2"/>
      <c r="C456" s="2"/>
      <c r="D456" s="2"/>
      <c r="E456" s="2"/>
      <c r="F456" s="2"/>
      <c r="G456" s="2"/>
      <c r="H456" s="2"/>
      <c r="I456" s="2"/>
      <c r="J456" s="2"/>
    </row>
    <row r="457" spans="1:10" x14ac:dyDescent="0.2">
      <c r="A457" s="2"/>
      <c r="B457" s="2"/>
      <c r="C457" s="2"/>
      <c r="D457" s="2"/>
      <c r="E457" s="2"/>
      <c r="F457" s="2"/>
      <c r="G457" s="2"/>
      <c r="H457" s="2"/>
      <c r="I457" s="2"/>
      <c r="J457" s="2"/>
    </row>
    <row r="458" spans="1:10" x14ac:dyDescent="0.2">
      <c r="A458" s="2"/>
      <c r="B458" s="2"/>
      <c r="C458" s="2"/>
      <c r="D458" s="2"/>
      <c r="E458" s="2"/>
      <c r="F458" s="2"/>
      <c r="G458" s="2"/>
      <c r="H458" s="2"/>
      <c r="I458" s="2"/>
      <c r="J458" s="2"/>
    </row>
    <row r="459" spans="1:10" x14ac:dyDescent="0.2">
      <c r="A459" s="2"/>
      <c r="B459" s="2"/>
      <c r="C459" s="2"/>
      <c r="D459" s="2"/>
      <c r="E459" s="2"/>
      <c r="F459" s="2"/>
      <c r="G459" s="2"/>
      <c r="H459" s="2"/>
      <c r="I459" s="2"/>
      <c r="J459" s="2"/>
    </row>
    <row r="460" spans="1:10" x14ac:dyDescent="0.2">
      <c r="A460" s="2"/>
      <c r="B460" s="2"/>
      <c r="C460" s="2"/>
      <c r="D460" s="2"/>
      <c r="E460" s="2"/>
      <c r="F460" s="2"/>
      <c r="G460" s="2"/>
      <c r="H460" s="2"/>
      <c r="I460" s="2"/>
      <c r="J460" s="2"/>
    </row>
    <row r="461" spans="1:10" x14ac:dyDescent="0.2">
      <c r="A461" s="2"/>
      <c r="B461" s="2"/>
      <c r="C461" s="2"/>
      <c r="D461" s="2"/>
      <c r="E461" s="2"/>
      <c r="F461" s="2"/>
      <c r="G461" s="2"/>
      <c r="H461" s="2"/>
      <c r="I461" s="2"/>
      <c r="J461" s="2"/>
    </row>
    <row r="462" spans="1:10" x14ac:dyDescent="0.2">
      <c r="A462" s="2"/>
      <c r="B462" s="2"/>
      <c r="C462" s="2"/>
      <c r="D462" s="2"/>
      <c r="E462" s="2"/>
      <c r="F462" s="2"/>
      <c r="G462" s="2"/>
      <c r="H462" s="2"/>
      <c r="I462" s="2"/>
      <c r="J462" s="2"/>
    </row>
    <row r="463" spans="1:10" x14ac:dyDescent="0.2">
      <c r="A463" s="2"/>
      <c r="B463" s="2"/>
      <c r="C463" s="2"/>
      <c r="D463" s="2"/>
      <c r="E463" s="2"/>
      <c r="F463" s="2"/>
      <c r="G463" s="2"/>
      <c r="H463" s="2"/>
      <c r="I463" s="2"/>
      <c r="J463" s="2"/>
    </row>
    <row r="464" spans="1:10" x14ac:dyDescent="0.2">
      <c r="A464" s="2"/>
      <c r="B464" s="2"/>
      <c r="C464" s="2"/>
      <c r="D464" s="2"/>
      <c r="E464" s="2"/>
      <c r="F464" s="2"/>
      <c r="G464" s="2"/>
      <c r="H464" s="2"/>
      <c r="I464" s="2"/>
      <c r="J464" s="2"/>
    </row>
    <row r="465" spans="1:10" x14ac:dyDescent="0.2">
      <c r="A465" s="2"/>
      <c r="B465" s="2"/>
      <c r="C465" s="2"/>
      <c r="D465" s="2"/>
      <c r="E465" s="2"/>
      <c r="F465" s="2"/>
      <c r="G465" s="2"/>
      <c r="H465" s="2"/>
      <c r="I465" s="2"/>
      <c r="J465" s="2"/>
    </row>
    <row r="466" spans="1:10" x14ac:dyDescent="0.2">
      <c r="A466" s="2"/>
      <c r="B466" s="2"/>
      <c r="C466" s="2"/>
      <c r="D466" s="2"/>
      <c r="E466" s="2"/>
      <c r="F466" s="2"/>
      <c r="G466" s="2"/>
      <c r="H466" s="2"/>
      <c r="I466" s="2"/>
      <c r="J466" s="2"/>
    </row>
    <row r="467" spans="1:10" x14ac:dyDescent="0.2">
      <c r="A467" s="2"/>
      <c r="B467" s="2"/>
      <c r="C467" s="2"/>
      <c r="D467" s="2"/>
      <c r="E467" s="2"/>
      <c r="F467" s="2"/>
      <c r="G467" s="2"/>
      <c r="H467" s="2"/>
      <c r="I467" s="2"/>
      <c r="J467" s="2"/>
    </row>
    <row r="468" spans="1:10" x14ac:dyDescent="0.2">
      <c r="A468" s="2"/>
      <c r="B468" s="2"/>
      <c r="C468" s="2"/>
      <c r="D468" s="2"/>
      <c r="E468" s="2"/>
      <c r="F468" s="2"/>
      <c r="G468" s="2"/>
      <c r="H468" s="2"/>
      <c r="I468" s="2"/>
      <c r="J468" s="2"/>
    </row>
    <row r="469" spans="1:10" x14ac:dyDescent="0.2">
      <c r="A469" s="2"/>
      <c r="B469" s="2"/>
      <c r="C469" s="2"/>
      <c r="D469" s="2"/>
      <c r="E469" s="2"/>
      <c r="F469" s="2"/>
      <c r="G469" s="2"/>
      <c r="H469" s="2"/>
      <c r="I469" s="2"/>
      <c r="J469" s="2"/>
    </row>
    <row r="470" spans="1:10" x14ac:dyDescent="0.2">
      <c r="A470" s="2"/>
      <c r="B470" s="2"/>
      <c r="C470" s="2"/>
      <c r="D470" s="2"/>
      <c r="E470" s="2"/>
      <c r="F470" s="2"/>
      <c r="G470" s="2"/>
      <c r="H470" s="2"/>
      <c r="I470" s="2"/>
      <c r="J470" s="2"/>
    </row>
    <row r="471" spans="1:10" x14ac:dyDescent="0.2">
      <c r="A471" s="2"/>
      <c r="B471" s="2"/>
      <c r="C471" s="2"/>
      <c r="D471" s="2"/>
      <c r="E471" s="2"/>
      <c r="F471" s="2"/>
      <c r="G471" s="2"/>
      <c r="H471" s="2"/>
      <c r="I471" s="2"/>
      <c r="J471" s="2"/>
    </row>
    <row r="472" spans="1:10" x14ac:dyDescent="0.2">
      <c r="A472" s="2"/>
      <c r="B472" s="2"/>
      <c r="C472" s="2"/>
      <c r="D472" s="2"/>
      <c r="E472" s="2"/>
      <c r="F472" s="2"/>
      <c r="G472" s="2"/>
      <c r="H472" s="2"/>
      <c r="I472" s="2"/>
      <c r="J472" s="2"/>
    </row>
    <row r="473" spans="1:10" x14ac:dyDescent="0.2">
      <c r="A473" s="2"/>
      <c r="B473" s="2"/>
      <c r="C473" s="2"/>
      <c r="D473" s="2"/>
      <c r="E473" s="2"/>
      <c r="F473" s="2"/>
      <c r="G473" s="2"/>
      <c r="H473" s="2"/>
      <c r="I473" s="2"/>
      <c r="J473" s="2"/>
    </row>
    <row r="474" spans="1:10" x14ac:dyDescent="0.2">
      <c r="A474" s="2"/>
      <c r="B474" s="2"/>
      <c r="C474" s="2"/>
      <c r="D474" s="2"/>
      <c r="E474" s="2"/>
      <c r="F474" s="2"/>
      <c r="G474" s="2"/>
      <c r="H474" s="2"/>
      <c r="I474" s="2"/>
      <c r="J474" s="2"/>
    </row>
    <row r="475" spans="1:10" x14ac:dyDescent="0.2">
      <c r="A475" s="2"/>
      <c r="B475" s="2"/>
      <c r="C475" s="2"/>
      <c r="D475" s="2"/>
      <c r="E475" s="2"/>
      <c r="F475" s="2"/>
      <c r="G475" s="2"/>
      <c r="H475" s="2"/>
      <c r="I475" s="2"/>
      <c r="J475" s="2"/>
    </row>
    <row r="476" spans="1:10" x14ac:dyDescent="0.2">
      <c r="A476" s="2"/>
      <c r="B476" s="2"/>
      <c r="C476" s="2"/>
      <c r="D476" s="2"/>
      <c r="E476" s="2"/>
      <c r="F476" s="2"/>
      <c r="G476" s="2"/>
      <c r="H476" s="2"/>
      <c r="I476" s="2"/>
      <c r="J476" s="2"/>
    </row>
    <row r="477" spans="1:10" x14ac:dyDescent="0.2">
      <c r="A477" s="2"/>
      <c r="B477" s="2"/>
      <c r="C477" s="2"/>
      <c r="D477" s="2"/>
      <c r="E477" s="2"/>
      <c r="F477" s="2"/>
      <c r="G477" s="2"/>
      <c r="H477" s="2"/>
      <c r="I477" s="2"/>
      <c r="J477" s="2"/>
    </row>
    <row r="478" spans="1:10" x14ac:dyDescent="0.2">
      <c r="A478" s="2"/>
      <c r="B478" s="2"/>
      <c r="C478" s="2"/>
      <c r="D478" s="2"/>
      <c r="E478" s="2"/>
      <c r="F478" s="2"/>
      <c r="G478" s="2"/>
      <c r="H478" s="2"/>
      <c r="I478" s="2"/>
      <c r="J478" s="2"/>
    </row>
    <row r="479" spans="1:10" x14ac:dyDescent="0.2">
      <c r="A479" s="2"/>
      <c r="B479" s="2"/>
      <c r="C479" s="2"/>
      <c r="D479" s="2"/>
      <c r="E479" s="2"/>
      <c r="F479" s="2"/>
      <c r="G479" s="2"/>
      <c r="H479" s="2"/>
      <c r="I479" s="2"/>
      <c r="J479" s="2"/>
    </row>
    <row r="480" spans="1:10" x14ac:dyDescent="0.2">
      <c r="A480" s="2"/>
      <c r="B480" s="2"/>
      <c r="C480" s="2"/>
      <c r="D480" s="2"/>
      <c r="E480" s="2"/>
      <c r="F480" s="2"/>
      <c r="G480" s="2"/>
      <c r="H480" s="2"/>
      <c r="I480" s="2"/>
      <c r="J480" s="2"/>
    </row>
    <row r="481" spans="1:10" x14ac:dyDescent="0.2">
      <c r="A481" s="2"/>
      <c r="B481" s="2"/>
      <c r="C481" s="2"/>
      <c r="D481" s="2"/>
      <c r="E481" s="2"/>
      <c r="F481" s="2"/>
      <c r="G481" s="2"/>
      <c r="H481" s="2"/>
      <c r="I481" s="2"/>
      <c r="J481" s="2"/>
    </row>
    <row r="482" spans="1:10" x14ac:dyDescent="0.2">
      <c r="A482" s="2"/>
      <c r="B482" s="2"/>
      <c r="C482" s="2"/>
      <c r="D482" s="2"/>
      <c r="E482" s="2"/>
      <c r="F482" s="2"/>
      <c r="G482" s="2"/>
      <c r="H482" s="2"/>
      <c r="I482" s="2"/>
      <c r="J482" s="2"/>
    </row>
    <row r="483" spans="1:10" x14ac:dyDescent="0.2">
      <c r="A483" s="2"/>
      <c r="B483" s="2"/>
      <c r="C483" s="2"/>
      <c r="D483" s="2"/>
      <c r="E483" s="2"/>
      <c r="F483" s="2"/>
      <c r="G483" s="2"/>
      <c r="H483" s="2"/>
      <c r="I483" s="2"/>
      <c r="J483" s="2"/>
    </row>
    <row r="484" spans="1:10" x14ac:dyDescent="0.2">
      <c r="A484" s="2"/>
      <c r="B484" s="2"/>
      <c r="C484" s="2"/>
      <c r="D484" s="2"/>
      <c r="E484" s="2"/>
      <c r="F484" s="2"/>
      <c r="G484" s="2"/>
      <c r="H484" s="2"/>
      <c r="I484" s="2"/>
      <c r="J484" s="2"/>
    </row>
    <row r="485" spans="1:10" x14ac:dyDescent="0.2">
      <c r="A485" s="2"/>
      <c r="B485" s="2"/>
      <c r="C485" s="2"/>
      <c r="D485" s="2"/>
      <c r="E485" s="2"/>
      <c r="F485" s="2"/>
      <c r="G485" s="2"/>
      <c r="H485" s="2"/>
      <c r="I485" s="2"/>
      <c r="J485" s="2"/>
    </row>
    <row r="486" spans="1:10" x14ac:dyDescent="0.2">
      <c r="A486" s="2"/>
      <c r="B486" s="2"/>
      <c r="C486" s="2"/>
      <c r="D486" s="2"/>
      <c r="E486" s="2"/>
      <c r="F486" s="2"/>
      <c r="G486" s="2"/>
      <c r="H486" s="2"/>
      <c r="I486" s="2"/>
      <c r="J486" s="2"/>
    </row>
    <row r="487" spans="1:10" x14ac:dyDescent="0.2">
      <c r="A487" s="2"/>
      <c r="B487" s="2"/>
      <c r="C487" s="2"/>
      <c r="D487" s="2"/>
      <c r="E487" s="2"/>
      <c r="F487" s="2"/>
      <c r="G487" s="2"/>
      <c r="H487" s="2"/>
      <c r="I487" s="2"/>
      <c r="J487" s="2"/>
    </row>
    <row r="488" spans="1:10" x14ac:dyDescent="0.2">
      <c r="A488" s="2"/>
      <c r="B488" s="2"/>
      <c r="C488" s="2"/>
      <c r="D488" s="2"/>
      <c r="E488" s="2"/>
      <c r="F488" s="2"/>
      <c r="G488" s="2"/>
      <c r="H488" s="2"/>
      <c r="I488" s="2"/>
      <c r="J488" s="2"/>
    </row>
    <row r="489" spans="1:10" x14ac:dyDescent="0.2">
      <c r="A489" s="2"/>
      <c r="B489" s="2"/>
      <c r="C489" s="2"/>
      <c r="D489" s="2"/>
      <c r="E489" s="2"/>
      <c r="F489" s="2"/>
      <c r="G489" s="2"/>
      <c r="H489" s="2"/>
      <c r="I489" s="2"/>
      <c r="J489" s="2"/>
    </row>
    <row r="490" spans="1:10" x14ac:dyDescent="0.2">
      <c r="A490" s="2"/>
      <c r="B490" s="2"/>
      <c r="C490" s="2"/>
      <c r="D490" s="2"/>
      <c r="E490" s="2"/>
      <c r="F490" s="2"/>
      <c r="G490" s="2"/>
      <c r="H490" s="2"/>
      <c r="I490" s="2"/>
      <c r="J490" s="2"/>
    </row>
    <row r="491" spans="1:10" x14ac:dyDescent="0.2">
      <c r="A491" s="2"/>
      <c r="B491" s="2"/>
      <c r="C491" s="2"/>
      <c r="D491" s="2"/>
      <c r="E491" s="2"/>
      <c r="F491" s="2"/>
      <c r="G491" s="2"/>
      <c r="H491" s="2"/>
      <c r="I491" s="2"/>
      <c r="J491" s="2"/>
    </row>
    <row r="492" spans="1:10" x14ac:dyDescent="0.2">
      <c r="A492" s="2"/>
      <c r="B492" s="2"/>
      <c r="C492" s="2"/>
      <c r="D492" s="2"/>
      <c r="E492" s="2"/>
      <c r="F492" s="2"/>
      <c r="G492" s="2"/>
      <c r="H492" s="2"/>
      <c r="I492" s="2"/>
      <c r="J492" s="2"/>
    </row>
    <row r="493" spans="1:10" x14ac:dyDescent="0.2">
      <c r="A493" s="2"/>
      <c r="B493" s="2"/>
      <c r="C493" s="2"/>
      <c r="D493" s="2"/>
      <c r="E493" s="2"/>
      <c r="F493" s="2"/>
      <c r="G493" s="2"/>
      <c r="H493" s="2"/>
      <c r="I493" s="2"/>
      <c r="J493" s="2"/>
    </row>
    <row r="494" spans="1:10" x14ac:dyDescent="0.2">
      <c r="A494" s="2"/>
      <c r="B494" s="2"/>
      <c r="C494" s="2"/>
      <c r="D494" s="2"/>
      <c r="E494" s="2"/>
      <c r="F494" s="2"/>
      <c r="G494" s="2"/>
      <c r="H494" s="2"/>
      <c r="I494" s="2"/>
      <c r="J494" s="2"/>
    </row>
    <row r="495" spans="1:10" x14ac:dyDescent="0.2">
      <c r="A495" s="2"/>
      <c r="B495" s="2"/>
      <c r="C495" s="2"/>
      <c r="D495" s="2"/>
      <c r="E495" s="2"/>
      <c r="F495" s="2"/>
      <c r="G495" s="2"/>
      <c r="H495" s="2"/>
      <c r="I495" s="2"/>
      <c r="J495" s="2"/>
    </row>
    <row r="496" spans="1:10" x14ac:dyDescent="0.2">
      <c r="A496" s="2"/>
      <c r="B496" s="2"/>
      <c r="C496" s="2"/>
      <c r="D496" s="2"/>
      <c r="E496" s="2"/>
      <c r="F496" s="2"/>
      <c r="G496" s="2"/>
      <c r="H496" s="2"/>
      <c r="I496" s="2"/>
      <c r="J496" s="2"/>
    </row>
    <row r="497" spans="1:10" x14ac:dyDescent="0.2">
      <c r="A497" s="2"/>
      <c r="B497" s="2"/>
      <c r="C497" s="2"/>
      <c r="D497" s="2"/>
      <c r="E497" s="2"/>
      <c r="F497" s="2"/>
      <c r="G497" s="2"/>
      <c r="H497" s="2"/>
      <c r="I497" s="2"/>
      <c r="J497" s="2"/>
    </row>
    <row r="498" spans="1:10" x14ac:dyDescent="0.2">
      <c r="A498" s="2"/>
      <c r="B498" s="2"/>
      <c r="C498" s="2"/>
      <c r="D498" s="2"/>
      <c r="E498" s="2"/>
      <c r="F498" s="2"/>
      <c r="G498" s="2"/>
      <c r="H498" s="2"/>
      <c r="I498" s="2"/>
      <c r="J498" s="2"/>
    </row>
    <row r="499" spans="1:10" x14ac:dyDescent="0.2">
      <c r="A499" s="2"/>
      <c r="B499" s="2"/>
      <c r="C499" s="2"/>
      <c r="D499" s="2"/>
      <c r="E499" s="2"/>
      <c r="F499" s="2"/>
      <c r="G499" s="2"/>
      <c r="H499" s="2"/>
      <c r="I499" s="2"/>
      <c r="J499" s="2"/>
    </row>
    <row r="500" spans="1:10" x14ac:dyDescent="0.2">
      <c r="A500" s="2"/>
      <c r="B500" s="2"/>
      <c r="C500" s="2"/>
      <c r="D500" s="2"/>
      <c r="E500" s="2"/>
      <c r="F500" s="2"/>
      <c r="G500" s="2"/>
      <c r="H500" s="2"/>
      <c r="I500" s="2"/>
      <c r="J500" s="2"/>
    </row>
    <row r="501" spans="1:10" x14ac:dyDescent="0.2">
      <c r="A501" s="2"/>
      <c r="B501" s="2"/>
      <c r="C501" s="2"/>
      <c r="D501" s="2"/>
      <c r="E501" s="2"/>
      <c r="F501" s="2"/>
      <c r="G501" s="2"/>
      <c r="H501" s="2"/>
      <c r="I501" s="2"/>
      <c r="J501" s="2"/>
    </row>
    <row r="502" spans="1:10" x14ac:dyDescent="0.2">
      <c r="A502" s="2"/>
      <c r="B502" s="2"/>
      <c r="C502" s="2"/>
      <c r="D502" s="2"/>
      <c r="E502" s="2"/>
      <c r="F502" s="2"/>
      <c r="G502" s="2"/>
      <c r="H502" s="2"/>
      <c r="I502" s="2"/>
      <c r="J502" s="2"/>
    </row>
    <row r="503" spans="1:10" x14ac:dyDescent="0.2">
      <c r="A503" s="2"/>
      <c r="B503" s="2"/>
      <c r="C503" s="2"/>
      <c r="D503" s="2"/>
      <c r="E503" s="2"/>
      <c r="F503" s="2"/>
      <c r="G503" s="2"/>
      <c r="H503" s="2"/>
      <c r="I503" s="2"/>
      <c r="J503" s="2"/>
    </row>
    <row r="504" spans="1:10" x14ac:dyDescent="0.2">
      <c r="A504" s="2"/>
      <c r="B504" s="2"/>
      <c r="C504" s="2"/>
      <c r="D504" s="2"/>
      <c r="E504" s="2"/>
      <c r="F504" s="2"/>
      <c r="G504" s="2"/>
      <c r="H504" s="2"/>
      <c r="I504" s="2"/>
      <c r="J504" s="2"/>
    </row>
    <row r="505" spans="1:10" x14ac:dyDescent="0.2">
      <c r="A505" s="2"/>
      <c r="B505" s="2"/>
      <c r="C505" s="2"/>
      <c r="D505" s="2"/>
      <c r="E505" s="2"/>
      <c r="F505" s="2"/>
      <c r="G505" s="2"/>
      <c r="H505" s="2"/>
      <c r="I505" s="2"/>
      <c r="J505" s="2"/>
    </row>
    <row r="506" spans="1:10" x14ac:dyDescent="0.2">
      <c r="A506" s="2"/>
      <c r="B506" s="2"/>
      <c r="C506" s="2"/>
      <c r="D506" s="2"/>
      <c r="E506" s="2"/>
      <c r="F506" s="2"/>
      <c r="G506" s="2"/>
      <c r="H506" s="2"/>
      <c r="I506" s="2"/>
      <c r="J506" s="2"/>
    </row>
    <row r="507" spans="1:10" x14ac:dyDescent="0.2">
      <c r="A507" s="2"/>
      <c r="B507" s="2"/>
      <c r="C507" s="2"/>
      <c r="D507" s="2"/>
      <c r="E507" s="2"/>
      <c r="F507" s="2"/>
      <c r="G507" s="2"/>
      <c r="H507" s="2"/>
      <c r="I507" s="2"/>
      <c r="J507" s="2"/>
    </row>
    <row r="508" spans="1:10" x14ac:dyDescent="0.2">
      <c r="A508" s="2"/>
      <c r="B508" s="2"/>
      <c r="C508" s="2"/>
      <c r="D508" s="2"/>
      <c r="E508" s="2"/>
      <c r="F508" s="2"/>
      <c r="G508" s="2"/>
      <c r="H508" s="2"/>
      <c r="I508" s="2"/>
      <c r="J508" s="2"/>
    </row>
    <row r="509" spans="1:10" x14ac:dyDescent="0.2">
      <c r="A509" s="2"/>
      <c r="B509" s="2"/>
      <c r="C509" s="2"/>
      <c r="D509" s="2"/>
      <c r="E509" s="2"/>
      <c r="F509" s="2"/>
      <c r="G509" s="2"/>
      <c r="H509" s="2"/>
      <c r="I509" s="2"/>
      <c r="J509" s="2"/>
    </row>
    <row r="510" spans="1:10" x14ac:dyDescent="0.2">
      <c r="A510" s="2"/>
      <c r="B510" s="2"/>
      <c r="C510" s="2"/>
      <c r="D510" s="2"/>
      <c r="E510" s="2"/>
      <c r="F510" s="2"/>
      <c r="G510" s="2"/>
      <c r="H510" s="2"/>
      <c r="I510" s="2"/>
      <c r="J510" s="2"/>
    </row>
    <row r="511" spans="1:10" x14ac:dyDescent="0.2">
      <c r="A511" s="2"/>
      <c r="B511" s="2"/>
      <c r="C511" s="2"/>
      <c r="D511" s="2"/>
      <c r="E511" s="2"/>
      <c r="F511" s="2"/>
      <c r="G511" s="2"/>
      <c r="H511" s="2"/>
      <c r="I511" s="2"/>
      <c r="J511" s="2"/>
    </row>
    <row r="512" spans="1:10" x14ac:dyDescent="0.2">
      <c r="A512" s="2"/>
      <c r="B512" s="2"/>
      <c r="C512" s="2"/>
      <c r="D512" s="2"/>
      <c r="E512" s="2"/>
      <c r="F512" s="2"/>
      <c r="G512" s="2"/>
      <c r="H512" s="2"/>
      <c r="I512" s="2"/>
      <c r="J512" s="2"/>
    </row>
    <row r="513" spans="1:10" x14ac:dyDescent="0.2">
      <c r="A513" s="2"/>
      <c r="B513" s="2"/>
      <c r="C513" s="2"/>
      <c r="D513" s="2"/>
      <c r="E513" s="2"/>
      <c r="F513" s="2"/>
      <c r="G513" s="2"/>
      <c r="H513" s="2"/>
      <c r="I513" s="2"/>
      <c r="J513" s="2"/>
    </row>
    <row r="514" spans="1:10" x14ac:dyDescent="0.2">
      <c r="A514" s="2"/>
      <c r="B514" s="2"/>
      <c r="C514" s="2"/>
      <c r="D514" s="2"/>
      <c r="E514" s="2"/>
      <c r="F514" s="2"/>
      <c r="G514" s="2"/>
      <c r="H514" s="2"/>
      <c r="I514" s="2"/>
      <c r="J514" s="2"/>
    </row>
    <row r="515" spans="1:10" x14ac:dyDescent="0.2">
      <c r="A515" s="2"/>
      <c r="B515" s="2"/>
      <c r="C515" s="2"/>
      <c r="D515" s="2"/>
      <c r="E515" s="2"/>
      <c r="F515" s="2"/>
      <c r="G515" s="2"/>
      <c r="H515" s="2"/>
      <c r="I515" s="2"/>
      <c r="J515" s="2"/>
    </row>
    <row r="516" spans="1:10" x14ac:dyDescent="0.2">
      <c r="A516" s="2"/>
      <c r="B516" s="2"/>
      <c r="C516" s="2"/>
      <c r="D516" s="2"/>
      <c r="E516" s="2"/>
      <c r="F516" s="2"/>
      <c r="G516" s="2"/>
      <c r="H516" s="2"/>
      <c r="I516" s="2"/>
      <c r="J516" s="2"/>
    </row>
    <row r="517" spans="1:10" x14ac:dyDescent="0.2">
      <c r="A517" s="2"/>
      <c r="B517" s="2"/>
      <c r="C517" s="2"/>
      <c r="D517" s="2"/>
      <c r="E517" s="2"/>
      <c r="F517" s="2"/>
      <c r="G517" s="2"/>
      <c r="H517" s="2"/>
      <c r="I517" s="2"/>
      <c r="J517" s="2"/>
    </row>
    <row r="518" spans="1:10" x14ac:dyDescent="0.2">
      <c r="A518" s="2"/>
      <c r="B518" s="2"/>
      <c r="C518" s="2"/>
      <c r="D518" s="2"/>
      <c r="E518" s="2"/>
      <c r="F518" s="2"/>
      <c r="G518" s="2"/>
      <c r="H518" s="2"/>
      <c r="I518" s="2"/>
      <c r="J518" s="2"/>
    </row>
    <row r="519" spans="1:10" x14ac:dyDescent="0.2">
      <c r="A519" s="2"/>
      <c r="B519" s="2"/>
      <c r="C519" s="2"/>
      <c r="D519" s="2"/>
      <c r="E519" s="2"/>
      <c r="F519" s="2"/>
      <c r="G519" s="2"/>
      <c r="H519" s="2"/>
      <c r="I519" s="2"/>
      <c r="J519" s="2"/>
    </row>
    <row r="520" spans="1:10" x14ac:dyDescent="0.2">
      <c r="A520" s="2"/>
      <c r="B520" s="2"/>
      <c r="C520" s="2"/>
      <c r="D520" s="2"/>
      <c r="E520" s="2"/>
      <c r="F520" s="2"/>
      <c r="G520" s="2"/>
      <c r="H520" s="2"/>
      <c r="I520" s="2"/>
      <c r="J520" s="2"/>
    </row>
    <row r="521" spans="1:10" x14ac:dyDescent="0.2">
      <c r="A521" s="2"/>
      <c r="B521" s="2"/>
      <c r="C521" s="2"/>
      <c r="D521" s="2"/>
      <c r="E521" s="2"/>
      <c r="F521" s="2"/>
      <c r="G521" s="2"/>
      <c r="H521" s="2"/>
      <c r="I521" s="2"/>
      <c r="J521" s="2"/>
    </row>
    <row r="522" spans="1:10" x14ac:dyDescent="0.2">
      <c r="A522" s="2"/>
      <c r="B522" s="2"/>
      <c r="C522" s="2"/>
      <c r="D522" s="2"/>
      <c r="E522" s="2"/>
      <c r="F522" s="2"/>
      <c r="G522" s="2"/>
      <c r="H522" s="2"/>
      <c r="I522" s="2"/>
      <c r="J522" s="2"/>
    </row>
    <row r="523" spans="1:10" x14ac:dyDescent="0.2">
      <c r="A523" s="2"/>
      <c r="B523" s="2"/>
      <c r="C523" s="2"/>
      <c r="D523" s="2"/>
      <c r="E523" s="2"/>
      <c r="F523" s="2"/>
      <c r="G523" s="2"/>
      <c r="H523" s="2"/>
      <c r="I523" s="2"/>
      <c r="J523" s="2"/>
    </row>
    <row r="524" spans="1:10" x14ac:dyDescent="0.2">
      <c r="A524" s="2"/>
      <c r="B524" s="2"/>
      <c r="C524" s="2"/>
      <c r="D524" s="2"/>
      <c r="E524" s="2"/>
      <c r="F524" s="2"/>
      <c r="G524" s="2"/>
      <c r="H524" s="2"/>
      <c r="I524" s="2"/>
      <c r="J524" s="2"/>
    </row>
    <row r="525" spans="1:10" x14ac:dyDescent="0.2">
      <c r="A525" s="2"/>
      <c r="B525" s="2"/>
      <c r="C525" s="2"/>
      <c r="D525" s="2"/>
      <c r="E525" s="2"/>
      <c r="F525" s="2"/>
      <c r="G525" s="2"/>
      <c r="H525" s="2"/>
      <c r="I525" s="2"/>
      <c r="J525" s="2"/>
    </row>
    <row r="526" spans="1:10" x14ac:dyDescent="0.2">
      <c r="A526" s="2"/>
      <c r="B526" s="2"/>
      <c r="C526" s="2"/>
      <c r="D526" s="2"/>
      <c r="E526" s="2"/>
      <c r="F526" s="2"/>
      <c r="G526" s="2"/>
      <c r="H526" s="2"/>
      <c r="I526" s="2"/>
      <c r="J526" s="2"/>
    </row>
    <row r="527" spans="1:10" x14ac:dyDescent="0.2">
      <c r="A527" s="2"/>
      <c r="B527" s="2"/>
      <c r="C527" s="2"/>
      <c r="D527" s="2"/>
      <c r="E527" s="2"/>
      <c r="F527" s="2"/>
      <c r="G527" s="2"/>
      <c r="H527" s="2"/>
      <c r="I527" s="2"/>
      <c r="J527" s="2"/>
    </row>
    <row r="528" spans="1:10" x14ac:dyDescent="0.2">
      <c r="A528" s="2"/>
      <c r="B528" s="2"/>
      <c r="C528" s="2"/>
      <c r="D528" s="2"/>
      <c r="E528" s="2"/>
      <c r="F528" s="2"/>
      <c r="G528" s="2"/>
      <c r="H528" s="2"/>
      <c r="I528" s="2"/>
      <c r="J528" s="2"/>
    </row>
    <row r="529" spans="1:10" x14ac:dyDescent="0.2">
      <c r="A529" s="2"/>
      <c r="B529" s="2"/>
      <c r="C529" s="2"/>
      <c r="D529" s="2"/>
      <c r="E529" s="2"/>
      <c r="F529" s="2"/>
      <c r="G529" s="2"/>
      <c r="H529" s="2"/>
      <c r="I529" s="2"/>
      <c r="J529" s="2"/>
    </row>
    <row r="530" spans="1:10" x14ac:dyDescent="0.2">
      <c r="A530" s="2"/>
      <c r="B530" s="2"/>
      <c r="C530" s="2"/>
      <c r="D530" s="2"/>
      <c r="E530" s="2"/>
      <c r="F530" s="2"/>
      <c r="G530" s="2"/>
      <c r="H530" s="2"/>
      <c r="I530" s="2"/>
      <c r="J530" s="2"/>
    </row>
    <row r="531" spans="1:10" x14ac:dyDescent="0.2">
      <c r="A531" s="2"/>
      <c r="B531" s="2"/>
      <c r="C531" s="2"/>
      <c r="D531" s="2"/>
      <c r="E531" s="2"/>
      <c r="F531" s="2"/>
      <c r="G531" s="2"/>
      <c r="H531" s="2"/>
      <c r="I531" s="2"/>
      <c r="J531" s="2"/>
    </row>
    <row r="532" spans="1:10" x14ac:dyDescent="0.2">
      <c r="A532" s="2"/>
      <c r="B532" s="2"/>
      <c r="C532" s="2"/>
      <c r="D532" s="2"/>
      <c r="E532" s="2"/>
      <c r="F532" s="2"/>
      <c r="G532" s="2"/>
      <c r="H532" s="2"/>
      <c r="I532" s="2"/>
      <c r="J532" s="2"/>
    </row>
    <row r="533" spans="1:10" x14ac:dyDescent="0.2">
      <c r="A533" s="2"/>
      <c r="B533" s="2"/>
      <c r="C533" s="2"/>
      <c r="D533" s="2"/>
      <c r="E533" s="2"/>
      <c r="F533" s="2"/>
      <c r="G533" s="2"/>
      <c r="H533" s="2"/>
      <c r="I533" s="2"/>
      <c r="J533" s="2"/>
    </row>
    <row r="534" spans="1:10" x14ac:dyDescent="0.2">
      <c r="A534" s="2"/>
      <c r="B534" s="2"/>
      <c r="C534" s="2"/>
      <c r="D534" s="2"/>
      <c r="E534" s="2"/>
      <c r="F534" s="2"/>
      <c r="G534" s="2"/>
      <c r="H534" s="2"/>
      <c r="I534" s="2"/>
      <c r="J534" s="2"/>
    </row>
    <row r="535" spans="1:10" x14ac:dyDescent="0.2">
      <c r="A535" s="2"/>
      <c r="B535" s="2"/>
      <c r="C535" s="2"/>
      <c r="D535" s="2"/>
      <c r="E535" s="2"/>
      <c r="F535" s="2"/>
      <c r="G535" s="2"/>
      <c r="H535" s="2"/>
      <c r="I535" s="2"/>
      <c r="J535" s="2"/>
    </row>
    <row r="536" spans="1:10" x14ac:dyDescent="0.2">
      <c r="A536" s="2"/>
      <c r="B536" s="2"/>
      <c r="C536" s="2"/>
      <c r="D536" s="2"/>
      <c r="E536" s="2"/>
      <c r="F536" s="2"/>
      <c r="G536" s="2"/>
      <c r="H536" s="2"/>
      <c r="I536" s="2"/>
      <c r="J536" s="2"/>
    </row>
    <row r="537" spans="1:10" x14ac:dyDescent="0.2">
      <c r="A537" s="2"/>
      <c r="B537" s="2"/>
      <c r="C537" s="2"/>
      <c r="D537" s="2"/>
      <c r="E537" s="2"/>
      <c r="F537" s="2"/>
      <c r="G537" s="2"/>
      <c r="H537" s="2"/>
      <c r="I537" s="2"/>
      <c r="J537" s="2"/>
    </row>
    <row r="538" spans="1:10" x14ac:dyDescent="0.2">
      <c r="A538" s="2"/>
      <c r="B538" s="2"/>
      <c r="C538" s="2"/>
      <c r="D538" s="2"/>
      <c r="E538" s="2"/>
      <c r="F538" s="2"/>
      <c r="G538" s="2"/>
      <c r="H538" s="2"/>
      <c r="I538" s="2"/>
      <c r="J538" s="2"/>
    </row>
    <row r="539" spans="1:10" x14ac:dyDescent="0.2">
      <c r="A539" s="2"/>
      <c r="B539" s="2"/>
      <c r="C539" s="2"/>
      <c r="D539" s="2"/>
      <c r="E539" s="2"/>
      <c r="F539" s="2"/>
      <c r="G539" s="2"/>
      <c r="H539" s="2"/>
      <c r="I539" s="2"/>
      <c r="J539" s="2"/>
    </row>
    <row r="540" spans="1:10" x14ac:dyDescent="0.2">
      <c r="A540" s="2"/>
      <c r="B540" s="2"/>
      <c r="C540" s="2"/>
      <c r="D540" s="2"/>
      <c r="E540" s="2"/>
      <c r="F540" s="2"/>
      <c r="G540" s="2"/>
      <c r="H540" s="2"/>
      <c r="I540" s="2"/>
      <c r="J540" s="2"/>
    </row>
    <row r="541" spans="1:10" x14ac:dyDescent="0.2">
      <c r="A541" s="2"/>
      <c r="B541" s="2"/>
      <c r="C541" s="2"/>
      <c r="D541" s="2"/>
      <c r="E541" s="2"/>
      <c r="F541" s="2"/>
      <c r="G541" s="2"/>
      <c r="H541" s="2"/>
      <c r="I541" s="2"/>
      <c r="J541" s="2"/>
    </row>
    <row r="542" spans="1:10" x14ac:dyDescent="0.2">
      <c r="A542" s="2"/>
      <c r="B542" s="2"/>
      <c r="C542" s="2"/>
      <c r="D542" s="2"/>
      <c r="E542" s="2"/>
      <c r="F542" s="2"/>
      <c r="G542" s="2"/>
      <c r="H542" s="2"/>
      <c r="I542" s="2"/>
      <c r="J542" s="2"/>
    </row>
    <row r="543" spans="1:10" x14ac:dyDescent="0.2">
      <c r="A543" s="2"/>
      <c r="B543" s="2"/>
      <c r="C543" s="2"/>
      <c r="D543" s="2"/>
      <c r="E543" s="2"/>
      <c r="F543" s="2"/>
      <c r="G543" s="2"/>
      <c r="H543" s="2"/>
      <c r="I543" s="2"/>
      <c r="J543" s="2"/>
    </row>
    <row r="544" spans="1:10" x14ac:dyDescent="0.2">
      <c r="A544" s="2"/>
      <c r="B544" s="2"/>
      <c r="C544" s="2"/>
      <c r="D544" s="2"/>
      <c r="E544" s="2"/>
      <c r="F544" s="2"/>
      <c r="G544" s="2"/>
      <c r="H544" s="2"/>
      <c r="I544" s="2"/>
      <c r="J544" s="2"/>
    </row>
    <row r="545" spans="1:10" x14ac:dyDescent="0.2">
      <c r="A545" s="2"/>
      <c r="B545" s="2"/>
      <c r="C545" s="2"/>
      <c r="D545" s="2"/>
      <c r="E545" s="2"/>
      <c r="F545" s="2"/>
      <c r="G545" s="2"/>
      <c r="H545" s="2"/>
      <c r="I545" s="2"/>
      <c r="J545" s="2"/>
    </row>
    <row r="546" spans="1:10" x14ac:dyDescent="0.2">
      <c r="A546" s="2"/>
      <c r="B546" s="2"/>
      <c r="C546" s="2"/>
      <c r="D546" s="2"/>
      <c r="E546" s="2"/>
      <c r="F546" s="2"/>
      <c r="G546" s="2"/>
      <c r="H546" s="2"/>
      <c r="I546" s="2"/>
      <c r="J546" s="2"/>
    </row>
    <row r="547" spans="1:10" x14ac:dyDescent="0.2">
      <c r="A547" s="2"/>
      <c r="B547" s="2"/>
      <c r="C547" s="2"/>
      <c r="D547" s="2"/>
      <c r="E547" s="2"/>
      <c r="F547" s="2"/>
      <c r="G547" s="2"/>
      <c r="H547" s="2"/>
      <c r="I547" s="2"/>
      <c r="J547" s="2"/>
    </row>
    <row r="548" spans="1:10" x14ac:dyDescent="0.2">
      <c r="A548" s="2"/>
      <c r="B548" s="2"/>
      <c r="C548" s="2"/>
      <c r="D548" s="2"/>
      <c r="E548" s="2"/>
      <c r="F548" s="2"/>
      <c r="G548" s="2"/>
      <c r="H548" s="2"/>
      <c r="I548" s="2"/>
      <c r="J548" s="2"/>
    </row>
    <row r="549" spans="1:10" x14ac:dyDescent="0.2">
      <c r="A549" s="2"/>
      <c r="B549" s="2"/>
      <c r="C549" s="2"/>
      <c r="D549" s="2"/>
      <c r="E549" s="2"/>
      <c r="F549" s="2"/>
      <c r="G549" s="2"/>
      <c r="H549" s="2"/>
      <c r="I549" s="2"/>
      <c r="J549" s="2"/>
    </row>
    <row r="550" spans="1:10" x14ac:dyDescent="0.2">
      <c r="A550" s="2"/>
      <c r="B550" s="2"/>
      <c r="C550" s="2"/>
      <c r="D550" s="2"/>
      <c r="E550" s="2"/>
      <c r="F550" s="2"/>
      <c r="G550" s="2"/>
      <c r="H550" s="2"/>
      <c r="I550" s="2"/>
      <c r="J550" s="2"/>
    </row>
    <row r="551" spans="1:10" x14ac:dyDescent="0.2">
      <c r="A551" s="2"/>
      <c r="B551" s="2"/>
      <c r="C551" s="2"/>
      <c r="D551" s="2"/>
      <c r="E551" s="2"/>
      <c r="F551" s="2"/>
      <c r="G551" s="2"/>
      <c r="H551" s="2"/>
      <c r="I551" s="2"/>
      <c r="J551" s="2"/>
    </row>
    <row r="552" spans="1:10" x14ac:dyDescent="0.2">
      <c r="A552" s="2"/>
      <c r="B552" s="2"/>
      <c r="C552" s="2"/>
      <c r="D552" s="2"/>
      <c r="E552" s="2"/>
      <c r="F552" s="2"/>
      <c r="G552" s="2"/>
      <c r="H552" s="2"/>
      <c r="I552" s="2"/>
      <c r="J552" s="2"/>
    </row>
    <row r="553" spans="1:10" x14ac:dyDescent="0.2">
      <c r="A553" s="2"/>
      <c r="B553" s="2"/>
      <c r="C553" s="2"/>
      <c r="D553" s="2"/>
      <c r="E553" s="2"/>
      <c r="F553" s="2"/>
      <c r="G553" s="2"/>
      <c r="H553" s="2"/>
      <c r="I553" s="2"/>
      <c r="J553" s="2"/>
    </row>
    <row r="554" spans="1:10" x14ac:dyDescent="0.2">
      <c r="A554" s="2"/>
      <c r="B554" s="2"/>
      <c r="C554" s="2"/>
      <c r="D554" s="2"/>
      <c r="E554" s="2"/>
      <c r="F554" s="2"/>
      <c r="G554" s="2"/>
      <c r="H554" s="2"/>
      <c r="I554" s="2"/>
      <c r="J554" s="2"/>
    </row>
    <row r="555" spans="1:10" x14ac:dyDescent="0.2">
      <c r="A555" s="2"/>
      <c r="B555" s="2"/>
      <c r="C555" s="2"/>
      <c r="D555" s="2"/>
      <c r="E555" s="2"/>
      <c r="F555" s="2"/>
      <c r="G555" s="2"/>
      <c r="H555" s="2"/>
      <c r="I555" s="2"/>
      <c r="J555" s="2"/>
    </row>
    <row r="556" spans="1:10" x14ac:dyDescent="0.2">
      <c r="A556" s="2"/>
      <c r="B556" s="2"/>
      <c r="C556" s="2"/>
      <c r="D556" s="2"/>
      <c r="E556" s="2"/>
      <c r="F556" s="2"/>
      <c r="G556" s="2"/>
      <c r="H556" s="2"/>
      <c r="I556" s="2"/>
      <c r="J556" s="2"/>
    </row>
    <row r="557" spans="1:10" x14ac:dyDescent="0.2">
      <c r="A557" s="2"/>
      <c r="B557" s="2"/>
      <c r="C557" s="2"/>
      <c r="D557" s="2"/>
      <c r="E557" s="2"/>
      <c r="F557" s="2"/>
      <c r="G557" s="2"/>
      <c r="H557" s="2"/>
      <c r="I557" s="2"/>
      <c r="J557" s="2"/>
    </row>
    <row r="558" spans="1:10" x14ac:dyDescent="0.2">
      <c r="A558" s="2"/>
      <c r="B558" s="2"/>
      <c r="C558" s="2"/>
      <c r="D558" s="2"/>
      <c r="E558" s="2"/>
      <c r="F558" s="2"/>
      <c r="G558" s="2"/>
      <c r="H558" s="2"/>
      <c r="I558" s="2"/>
      <c r="J558" s="2"/>
    </row>
    <row r="559" spans="1:10" x14ac:dyDescent="0.2">
      <c r="A559" s="2"/>
      <c r="B559" s="2"/>
      <c r="C559" s="2"/>
      <c r="D559" s="2"/>
      <c r="E559" s="2"/>
      <c r="F559" s="2"/>
      <c r="G559" s="2"/>
      <c r="H559" s="2"/>
      <c r="I559" s="2"/>
      <c r="J559" s="2"/>
    </row>
    <row r="560" spans="1:10" x14ac:dyDescent="0.2">
      <c r="A560" s="2"/>
      <c r="B560" s="2"/>
      <c r="C560" s="2"/>
      <c r="D560" s="2"/>
      <c r="E560" s="2"/>
      <c r="F560" s="2"/>
      <c r="G560" s="2"/>
      <c r="H560" s="2"/>
      <c r="I560" s="2"/>
      <c r="J560" s="2"/>
    </row>
    <row r="561" spans="1:10" x14ac:dyDescent="0.2">
      <c r="A561" s="2"/>
      <c r="B561" s="2"/>
      <c r="C561" s="2"/>
      <c r="D561" s="2"/>
      <c r="E561" s="2"/>
      <c r="F561" s="2"/>
      <c r="G561" s="2"/>
      <c r="H561" s="2"/>
      <c r="I561" s="2"/>
      <c r="J561" s="2"/>
    </row>
    <row r="562" spans="1:10" x14ac:dyDescent="0.2">
      <c r="A562" s="2"/>
      <c r="B562" s="2"/>
      <c r="C562" s="2"/>
      <c r="D562" s="2"/>
      <c r="E562" s="2"/>
      <c r="F562" s="2"/>
      <c r="G562" s="2"/>
      <c r="H562" s="2"/>
      <c r="I562" s="2"/>
      <c r="J562" s="2"/>
    </row>
    <row r="563" spans="1:10" x14ac:dyDescent="0.2">
      <c r="A563" s="2"/>
      <c r="B563" s="2"/>
      <c r="C563" s="2"/>
      <c r="D563" s="2"/>
      <c r="E563" s="2"/>
      <c r="F563" s="2"/>
      <c r="G563" s="2"/>
      <c r="H563" s="2"/>
      <c r="I563" s="2"/>
      <c r="J563" s="2"/>
    </row>
    <row r="564" spans="1:10" x14ac:dyDescent="0.2">
      <c r="A564" s="2"/>
      <c r="B564" s="2"/>
      <c r="C564" s="2"/>
      <c r="D564" s="2"/>
      <c r="E564" s="2"/>
      <c r="F564" s="2"/>
      <c r="G564" s="2"/>
      <c r="H564" s="2"/>
      <c r="I564" s="2"/>
      <c r="J564" s="2"/>
    </row>
    <row r="565" spans="1:10" x14ac:dyDescent="0.2">
      <c r="A565" s="2"/>
      <c r="B565" s="2"/>
      <c r="C565" s="2"/>
      <c r="D565" s="2"/>
      <c r="E565" s="2"/>
      <c r="F565" s="2"/>
      <c r="G565" s="2"/>
      <c r="H565" s="2"/>
      <c r="I565" s="2"/>
      <c r="J565" s="2"/>
    </row>
    <row r="566" spans="1:10" x14ac:dyDescent="0.2">
      <c r="A566" s="2"/>
      <c r="B566" s="2"/>
      <c r="C566" s="2"/>
      <c r="D566" s="2"/>
      <c r="E566" s="2"/>
      <c r="F566" s="2"/>
      <c r="G566" s="2"/>
      <c r="H566" s="2"/>
      <c r="I566" s="2"/>
      <c r="J566" s="2"/>
    </row>
    <row r="567" spans="1:10" x14ac:dyDescent="0.2">
      <c r="A567" s="2"/>
      <c r="B567" s="2"/>
      <c r="C567" s="2"/>
      <c r="D567" s="2"/>
      <c r="E567" s="2"/>
      <c r="F567" s="2"/>
      <c r="G567" s="2"/>
      <c r="H567" s="2"/>
      <c r="I567" s="2"/>
      <c r="J567" s="2"/>
    </row>
    <row r="568" spans="1:10" x14ac:dyDescent="0.2">
      <c r="A568" s="2"/>
      <c r="B568" s="2"/>
      <c r="C568" s="2"/>
      <c r="D568" s="2"/>
      <c r="E568" s="2"/>
      <c r="F568" s="2"/>
      <c r="G568" s="2"/>
      <c r="H568" s="2"/>
      <c r="I568" s="2"/>
      <c r="J568" s="2"/>
    </row>
    <row r="569" spans="1:10" x14ac:dyDescent="0.2">
      <c r="A569" s="2"/>
      <c r="B569" s="2"/>
      <c r="C569" s="2"/>
      <c r="D569" s="2"/>
      <c r="E569" s="2"/>
      <c r="F569" s="2"/>
      <c r="G569" s="2"/>
      <c r="H569" s="2"/>
      <c r="I569" s="2"/>
      <c r="J569" s="2"/>
    </row>
    <row r="570" spans="1:10" x14ac:dyDescent="0.2">
      <c r="A570" s="2"/>
      <c r="B570" s="2"/>
      <c r="C570" s="2"/>
      <c r="D570" s="2"/>
      <c r="E570" s="2"/>
      <c r="F570" s="2"/>
      <c r="G570" s="2"/>
      <c r="H570" s="2"/>
      <c r="I570" s="2"/>
      <c r="J570" s="2"/>
    </row>
    <row r="571" spans="1:10" x14ac:dyDescent="0.2">
      <c r="A571" s="2"/>
      <c r="B571" s="2"/>
      <c r="C571" s="2"/>
      <c r="D571" s="2"/>
      <c r="E571" s="2"/>
      <c r="F571" s="2"/>
      <c r="G571" s="2"/>
      <c r="H571" s="2"/>
      <c r="I571" s="2"/>
      <c r="J571" s="2"/>
    </row>
    <row r="572" spans="1:10" x14ac:dyDescent="0.2">
      <c r="A572" s="2"/>
      <c r="B572" s="2"/>
      <c r="C572" s="2"/>
      <c r="D572" s="2"/>
      <c r="E572" s="2"/>
      <c r="F572" s="2"/>
      <c r="G572" s="2"/>
      <c r="H572" s="2"/>
      <c r="I572" s="2"/>
      <c r="J572" s="2"/>
    </row>
    <row r="573" spans="1:10" x14ac:dyDescent="0.2">
      <c r="A573" s="2"/>
      <c r="B573" s="2"/>
      <c r="C573" s="2"/>
      <c r="D573" s="2"/>
      <c r="E573" s="2"/>
      <c r="F573" s="2"/>
      <c r="G573" s="2"/>
      <c r="H573" s="2"/>
      <c r="I573" s="2"/>
      <c r="J573" s="2"/>
    </row>
    <row r="574" spans="1:10" x14ac:dyDescent="0.2">
      <c r="A574" s="2"/>
      <c r="B574" s="2"/>
      <c r="C574" s="2"/>
      <c r="D574" s="2"/>
      <c r="E574" s="2"/>
      <c r="F574" s="2"/>
      <c r="G574" s="2"/>
      <c r="H574" s="2"/>
      <c r="I574" s="2"/>
      <c r="J574" s="2"/>
    </row>
    <row r="575" spans="1:10" x14ac:dyDescent="0.2">
      <c r="A575" s="2"/>
      <c r="B575" s="2"/>
      <c r="C575" s="2"/>
      <c r="D575" s="2"/>
      <c r="E575" s="2"/>
      <c r="F575" s="2"/>
      <c r="G575" s="2"/>
      <c r="H575" s="2"/>
      <c r="I575" s="2"/>
      <c r="J575" s="2"/>
    </row>
    <row r="576" spans="1:10" x14ac:dyDescent="0.2">
      <c r="A576" s="2"/>
      <c r="B576" s="2"/>
      <c r="C576" s="2"/>
      <c r="D576" s="2"/>
      <c r="E576" s="2"/>
      <c r="F576" s="2"/>
      <c r="G576" s="2"/>
      <c r="H576" s="2"/>
      <c r="I576" s="2"/>
      <c r="J576" s="2"/>
    </row>
    <row r="577" spans="1:10" x14ac:dyDescent="0.2">
      <c r="A577" s="2"/>
      <c r="B577" s="2"/>
      <c r="C577" s="2"/>
      <c r="D577" s="2"/>
      <c r="E577" s="2"/>
      <c r="F577" s="2"/>
      <c r="G577" s="2"/>
      <c r="H577" s="2"/>
      <c r="I577" s="2"/>
      <c r="J577" s="2"/>
    </row>
    <row r="578" spans="1:10" x14ac:dyDescent="0.2">
      <c r="A578" s="2"/>
      <c r="B578" s="2"/>
      <c r="C578" s="2"/>
      <c r="D578" s="2"/>
      <c r="E578" s="2"/>
      <c r="F578" s="2"/>
      <c r="G578" s="2"/>
      <c r="H578" s="2"/>
      <c r="I578" s="2"/>
      <c r="J578" s="2"/>
    </row>
    <row r="579" spans="1:10" x14ac:dyDescent="0.2">
      <c r="A579" s="2"/>
      <c r="B579" s="2"/>
      <c r="C579" s="2"/>
      <c r="D579" s="2"/>
      <c r="E579" s="2"/>
      <c r="F579" s="2"/>
      <c r="G579" s="2"/>
      <c r="H579" s="2"/>
      <c r="I579" s="2"/>
      <c r="J579" s="2"/>
    </row>
    <row r="580" spans="1:10" x14ac:dyDescent="0.2">
      <c r="A580" s="2"/>
      <c r="B580" s="2"/>
      <c r="C580" s="2"/>
      <c r="D580" s="2"/>
      <c r="E580" s="2"/>
      <c r="F580" s="2"/>
      <c r="G580" s="2"/>
      <c r="H580" s="2"/>
      <c r="I580" s="2"/>
      <c r="J580" s="2"/>
    </row>
    <row r="581" spans="1:10" x14ac:dyDescent="0.2">
      <c r="A581" s="2"/>
      <c r="B581" s="2"/>
      <c r="C581" s="2"/>
      <c r="D581" s="2"/>
      <c r="E581" s="2"/>
      <c r="F581" s="2"/>
      <c r="G581" s="2"/>
      <c r="H581" s="2"/>
      <c r="I581" s="2"/>
      <c r="J581" s="2"/>
    </row>
    <row r="582" spans="1:10" x14ac:dyDescent="0.2">
      <c r="A582" s="2"/>
      <c r="B582" s="2"/>
      <c r="C582" s="2"/>
      <c r="D582" s="2"/>
      <c r="E582" s="2"/>
      <c r="F582" s="2"/>
      <c r="G582" s="2"/>
      <c r="H582" s="2"/>
      <c r="I582" s="2"/>
      <c r="J582" s="2"/>
    </row>
    <row r="583" spans="1:10" x14ac:dyDescent="0.2">
      <c r="A583" s="2"/>
      <c r="B583" s="2"/>
      <c r="C583" s="2"/>
      <c r="D583" s="2"/>
      <c r="E583" s="2"/>
      <c r="F583" s="2"/>
      <c r="G583" s="2"/>
      <c r="H583" s="2"/>
      <c r="I583" s="2"/>
      <c r="J583" s="2"/>
    </row>
    <row r="584" spans="1:10" x14ac:dyDescent="0.2">
      <c r="A584" s="2"/>
      <c r="B584" s="2"/>
      <c r="C584" s="2"/>
      <c r="D584" s="2"/>
      <c r="E584" s="2"/>
      <c r="F584" s="2"/>
      <c r="G584" s="2"/>
      <c r="H584" s="2"/>
      <c r="I584" s="2"/>
      <c r="J584" s="2"/>
    </row>
    <row r="585" spans="1:10" x14ac:dyDescent="0.2">
      <c r="A585" s="2"/>
      <c r="B585" s="2"/>
      <c r="C585" s="2"/>
      <c r="D585" s="2"/>
      <c r="E585" s="2"/>
      <c r="F585" s="2"/>
      <c r="G585" s="2"/>
      <c r="H585" s="2"/>
      <c r="I585" s="2"/>
      <c r="J585" s="2"/>
    </row>
    <row r="586" spans="1:10" x14ac:dyDescent="0.2">
      <c r="A586" s="2"/>
      <c r="B586" s="2"/>
      <c r="C586" s="2"/>
      <c r="D586" s="2"/>
      <c r="E586" s="2"/>
      <c r="F586" s="2"/>
      <c r="G586" s="2"/>
      <c r="H586" s="2"/>
      <c r="I586" s="2"/>
      <c r="J586" s="2"/>
    </row>
    <row r="587" spans="1:10" x14ac:dyDescent="0.2">
      <c r="A587" s="2"/>
      <c r="B587" s="2"/>
      <c r="C587" s="2"/>
      <c r="D587" s="2"/>
      <c r="E587" s="2"/>
      <c r="F587" s="2"/>
      <c r="G587" s="2"/>
      <c r="H587" s="2"/>
      <c r="I587" s="2"/>
      <c r="J587" s="2"/>
    </row>
    <row r="588" spans="1:10" x14ac:dyDescent="0.2">
      <c r="A588" s="2"/>
      <c r="B588" s="2"/>
      <c r="C588" s="2"/>
      <c r="D588" s="2"/>
      <c r="E588" s="2"/>
      <c r="F588" s="2"/>
      <c r="G588" s="2"/>
      <c r="H588" s="2"/>
      <c r="I588" s="2"/>
      <c r="J588" s="2"/>
    </row>
    <row r="589" spans="1:10" x14ac:dyDescent="0.2">
      <c r="A589" s="2"/>
      <c r="B589" s="2"/>
      <c r="C589" s="2"/>
      <c r="D589" s="2"/>
      <c r="E589" s="2"/>
      <c r="F589" s="2"/>
      <c r="G589" s="2"/>
      <c r="H589" s="2"/>
      <c r="I589" s="2"/>
      <c r="J589" s="2"/>
    </row>
    <row r="590" spans="1:10" x14ac:dyDescent="0.2">
      <c r="A590" s="2"/>
      <c r="B590" s="2"/>
      <c r="C590" s="2"/>
      <c r="D590" s="2"/>
      <c r="E590" s="2"/>
      <c r="F590" s="2"/>
      <c r="G590" s="2"/>
      <c r="H590" s="2"/>
      <c r="I590" s="2"/>
      <c r="J590" s="2"/>
    </row>
    <row r="591" spans="1:10" x14ac:dyDescent="0.2">
      <c r="A591" s="2"/>
      <c r="B591" s="2"/>
      <c r="C591" s="2"/>
      <c r="D591" s="2"/>
      <c r="E591" s="2"/>
      <c r="F591" s="2"/>
      <c r="G591" s="2"/>
      <c r="H591" s="2"/>
      <c r="I591" s="2"/>
      <c r="J591" s="2"/>
    </row>
    <row r="592" spans="1:10" x14ac:dyDescent="0.2">
      <c r="A592" s="2"/>
      <c r="B592" s="2"/>
      <c r="C592" s="2"/>
      <c r="D592" s="2"/>
      <c r="E592" s="2"/>
      <c r="F592" s="2"/>
      <c r="G592" s="2"/>
      <c r="H592" s="2"/>
      <c r="I592" s="2"/>
      <c r="J592" s="2"/>
    </row>
    <row r="593" spans="1:10" x14ac:dyDescent="0.2">
      <c r="A593" s="2"/>
      <c r="B593" s="2"/>
      <c r="C593" s="2"/>
      <c r="D593" s="2"/>
      <c r="E593" s="2"/>
      <c r="F593" s="2"/>
      <c r="G593" s="2"/>
      <c r="H593" s="2"/>
      <c r="I593" s="2"/>
      <c r="J593" s="2"/>
    </row>
    <row r="594" spans="1:10" x14ac:dyDescent="0.2">
      <c r="A594" s="2"/>
      <c r="B594" s="2"/>
      <c r="C594" s="2"/>
      <c r="D594" s="2"/>
      <c r="E594" s="2"/>
      <c r="F594" s="2"/>
      <c r="G594" s="2"/>
      <c r="H594" s="2"/>
      <c r="I594" s="2"/>
      <c r="J594" s="2"/>
    </row>
    <row r="595" spans="1:10" x14ac:dyDescent="0.2">
      <c r="A595" s="2"/>
      <c r="B595" s="2"/>
      <c r="C595" s="2"/>
      <c r="D595" s="2"/>
      <c r="E595" s="2"/>
      <c r="F595" s="2"/>
      <c r="G595" s="2"/>
      <c r="H595" s="2"/>
      <c r="I595" s="2"/>
      <c r="J595" s="2"/>
    </row>
    <row r="596" spans="1:10" x14ac:dyDescent="0.2">
      <c r="A596" s="2"/>
      <c r="B596" s="2"/>
      <c r="C596" s="2"/>
      <c r="D596" s="2"/>
      <c r="E596" s="2"/>
      <c r="F596" s="2"/>
      <c r="G596" s="2"/>
      <c r="H596" s="2"/>
      <c r="I596" s="2"/>
      <c r="J596" s="2"/>
    </row>
    <row r="597" spans="1:10" x14ac:dyDescent="0.2">
      <c r="A597" s="2"/>
      <c r="B597" s="2"/>
      <c r="C597" s="2"/>
      <c r="D597" s="2"/>
      <c r="E597" s="2"/>
      <c r="F597" s="2"/>
      <c r="G597" s="2"/>
      <c r="H597" s="2"/>
      <c r="I597" s="2"/>
      <c r="J597" s="2"/>
    </row>
    <row r="598" spans="1:10" x14ac:dyDescent="0.2">
      <c r="A598" s="2"/>
      <c r="B598" s="2"/>
      <c r="C598" s="2"/>
      <c r="D598" s="2"/>
      <c r="E598" s="2"/>
      <c r="F598" s="2"/>
      <c r="G598" s="2"/>
      <c r="H598" s="2"/>
      <c r="I598" s="2"/>
      <c r="J598" s="2"/>
    </row>
    <row r="599" spans="1:10" x14ac:dyDescent="0.2">
      <c r="A599" s="2"/>
      <c r="B599" s="2"/>
      <c r="C599" s="2"/>
      <c r="D599" s="2"/>
      <c r="E599" s="2"/>
      <c r="F599" s="2"/>
      <c r="G599" s="2"/>
      <c r="H599" s="2"/>
      <c r="I599" s="2"/>
      <c r="J599" s="2"/>
    </row>
    <row r="600" spans="1:10" x14ac:dyDescent="0.2">
      <c r="A600" s="2"/>
      <c r="B600" s="2"/>
      <c r="C600" s="2"/>
      <c r="D600" s="2"/>
      <c r="E600" s="2"/>
      <c r="F600" s="2"/>
      <c r="G600" s="2"/>
      <c r="H600" s="2"/>
      <c r="I600" s="2"/>
      <c r="J600" s="2"/>
    </row>
    <row r="601" spans="1:10" x14ac:dyDescent="0.2">
      <c r="A601" s="2"/>
      <c r="B601" s="2"/>
      <c r="C601" s="2"/>
      <c r="D601" s="2"/>
      <c r="E601" s="2"/>
      <c r="F601" s="2"/>
      <c r="G601" s="2"/>
      <c r="H601" s="2"/>
      <c r="I601" s="2"/>
      <c r="J601" s="2"/>
    </row>
    <row r="602" spans="1:10" x14ac:dyDescent="0.2">
      <c r="A602" s="2"/>
      <c r="B602" s="2"/>
      <c r="C602" s="2"/>
      <c r="D602" s="2"/>
      <c r="E602" s="2"/>
      <c r="F602" s="2"/>
      <c r="G602" s="2"/>
      <c r="H602" s="2"/>
      <c r="I602" s="2"/>
      <c r="J602" s="2"/>
    </row>
    <row r="603" spans="1:10" x14ac:dyDescent="0.2">
      <c r="A603" s="2"/>
      <c r="B603" s="2"/>
      <c r="C603" s="2"/>
      <c r="D603" s="2"/>
      <c r="E603" s="2"/>
      <c r="F603" s="2"/>
      <c r="G603" s="2"/>
      <c r="H603" s="2"/>
      <c r="I603" s="2"/>
      <c r="J603" s="2"/>
    </row>
    <row r="604" spans="1:10" x14ac:dyDescent="0.2">
      <c r="A604" s="2"/>
      <c r="B604" s="2"/>
      <c r="C604" s="2"/>
      <c r="D604" s="2"/>
      <c r="E604" s="2"/>
      <c r="F604" s="2"/>
      <c r="G604" s="2"/>
      <c r="H604" s="2"/>
      <c r="I604" s="2"/>
      <c r="J604" s="2"/>
    </row>
    <row r="605" spans="1:10" x14ac:dyDescent="0.2">
      <c r="A605" s="2"/>
      <c r="B605" s="2"/>
      <c r="C605" s="2"/>
      <c r="D605" s="2"/>
      <c r="E605" s="2"/>
      <c r="F605" s="2"/>
      <c r="G605" s="2"/>
      <c r="H605" s="2"/>
      <c r="I605" s="2"/>
      <c r="J605" s="2"/>
    </row>
    <row r="606" spans="1:10" x14ac:dyDescent="0.2">
      <c r="A606" s="2"/>
      <c r="B606" s="2"/>
      <c r="C606" s="2"/>
      <c r="D606" s="2"/>
      <c r="E606" s="2"/>
      <c r="F606" s="2"/>
      <c r="G606" s="2"/>
      <c r="H606" s="2"/>
      <c r="I606" s="2"/>
      <c r="J606" s="2"/>
    </row>
    <row r="607" spans="1:10" x14ac:dyDescent="0.2">
      <c r="A607" s="2"/>
      <c r="B607" s="2"/>
      <c r="C607" s="2"/>
      <c r="D607" s="2"/>
      <c r="E607" s="2"/>
      <c r="F607" s="2"/>
      <c r="G607" s="2"/>
      <c r="H607" s="2"/>
      <c r="I607" s="2"/>
      <c r="J607" s="2"/>
    </row>
    <row r="608" spans="1:10" x14ac:dyDescent="0.2">
      <c r="A608" s="2"/>
      <c r="B608" s="2"/>
      <c r="C608" s="2"/>
      <c r="D608" s="2"/>
      <c r="E608" s="2"/>
      <c r="F608" s="2"/>
      <c r="G608" s="2"/>
      <c r="H608" s="2"/>
      <c r="I608" s="2"/>
      <c r="J608" s="2"/>
    </row>
    <row r="609" spans="1:10" x14ac:dyDescent="0.2">
      <c r="A609" s="2"/>
      <c r="B609" s="2"/>
      <c r="C609" s="2"/>
      <c r="D609" s="2"/>
      <c r="E609" s="2"/>
      <c r="F609" s="2"/>
      <c r="G609" s="2"/>
      <c r="H609" s="2"/>
      <c r="I609" s="2"/>
      <c r="J609" s="2"/>
    </row>
    <row r="610" spans="1:10" x14ac:dyDescent="0.2">
      <c r="A610" s="2"/>
      <c r="B610" s="2"/>
      <c r="C610" s="2"/>
      <c r="D610" s="2"/>
      <c r="E610" s="2"/>
      <c r="F610" s="2"/>
      <c r="G610" s="2"/>
      <c r="H610" s="2"/>
      <c r="I610" s="2"/>
      <c r="J610" s="2"/>
    </row>
    <row r="611" spans="1:10" x14ac:dyDescent="0.2">
      <c r="A611" s="2"/>
      <c r="B611" s="2"/>
      <c r="C611" s="2"/>
      <c r="D611" s="2"/>
      <c r="E611" s="2"/>
      <c r="F611" s="2"/>
      <c r="G611" s="2"/>
      <c r="H611" s="2"/>
      <c r="I611" s="2"/>
      <c r="J611" s="2"/>
    </row>
    <row r="612" spans="1:10" x14ac:dyDescent="0.2">
      <c r="A612" s="2"/>
      <c r="B612" s="2"/>
      <c r="C612" s="2"/>
      <c r="D612" s="2"/>
      <c r="E612" s="2"/>
      <c r="F612" s="2"/>
      <c r="G612" s="2"/>
      <c r="H612" s="2"/>
      <c r="I612" s="2"/>
      <c r="J612" s="2"/>
    </row>
    <row r="613" spans="1:10" x14ac:dyDescent="0.2">
      <c r="A613" s="2"/>
      <c r="B613" s="2"/>
      <c r="C613" s="2"/>
      <c r="D613" s="2"/>
      <c r="E613" s="2"/>
      <c r="F613" s="2"/>
      <c r="G613" s="2"/>
      <c r="H613" s="2"/>
      <c r="I613" s="2"/>
      <c r="J613" s="2"/>
    </row>
    <row r="614" spans="1:10" x14ac:dyDescent="0.2">
      <c r="A614" s="2"/>
      <c r="B614" s="2"/>
      <c r="C614" s="2"/>
      <c r="D614" s="2"/>
      <c r="E614" s="2"/>
      <c r="F614" s="2"/>
      <c r="G614" s="2"/>
      <c r="H614" s="2"/>
      <c r="I614" s="2"/>
      <c r="J614" s="2"/>
    </row>
    <row r="615" spans="1:10" x14ac:dyDescent="0.2">
      <c r="A615" s="2"/>
      <c r="B615" s="2"/>
      <c r="C615" s="2"/>
      <c r="D615" s="2"/>
      <c r="E615" s="2"/>
      <c r="F615" s="2"/>
      <c r="G615" s="2"/>
      <c r="H615" s="2"/>
      <c r="I615" s="2"/>
      <c r="J615" s="2"/>
    </row>
    <row r="616" spans="1:10" x14ac:dyDescent="0.2">
      <c r="A616" s="2"/>
      <c r="B616" s="2"/>
      <c r="C616" s="2"/>
      <c r="D616" s="2"/>
      <c r="E616" s="2"/>
      <c r="F616" s="2"/>
      <c r="G616" s="2"/>
      <c r="H616" s="2"/>
      <c r="I616" s="2"/>
      <c r="J616" s="2"/>
    </row>
    <row r="617" spans="1:10" x14ac:dyDescent="0.2">
      <c r="A617" s="2"/>
      <c r="B617" s="2"/>
      <c r="C617" s="2"/>
      <c r="D617" s="2"/>
      <c r="E617" s="2"/>
      <c r="F617" s="2"/>
      <c r="G617" s="2"/>
      <c r="H617" s="2"/>
      <c r="I617" s="2"/>
      <c r="J617" s="2"/>
    </row>
    <row r="618" spans="1:10" x14ac:dyDescent="0.2">
      <c r="A618" s="2"/>
      <c r="B618" s="2"/>
      <c r="C618" s="2"/>
      <c r="D618" s="2"/>
      <c r="E618" s="2"/>
      <c r="F618" s="2"/>
      <c r="G618" s="2"/>
      <c r="H618" s="2"/>
      <c r="I618" s="2"/>
      <c r="J618" s="2"/>
    </row>
    <row r="619" spans="1:10" x14ac:dyDescent="0.2">
      <c r="A619" s="2"/>
      <c r="B619" s="2"/>
      <c r="C619" s="2"/>
      <c r="D619" s="2"/>
      <c r="E619" s="2"/>
      <c r="F619" s="2"/>
      <c r="G619" s="2"/>
      <c r="H619" s="2"/>
      <c r="I619" s="2"/>
      <c r="J619" s="2"/>
    </row>
    <row r="620" spans="1:10" x14ac:dyDescent="0.2">
      <c r="A620" s="2"/>
      <c r="B620" s="2"/>
      <c r="C620" s="2"/>
      <c r="D620" s="2"/>
      <c r="E620" s="2"/>
      <c r="F620" s="2"/>
      <c r="G620" s="2"/>
      <c r="H620" s="2"/>
      <c r="I620" s="2"/>
      <c r="J620" s="2"/>
    </row>
    <row r="621" spans="1:10" x14ac:dyDescent="0.2">
      <c r="A621" s="2"/>
      <c r="B621" s="2"/>
      <c r="C621" s="2"/>
      <c r="D621" s="2"/>
      <c r="E621" s="2"/>
      <c r="F621" s="2"/>
      <c r="G621" s="2"/>
      <c r="H621" s="2"/>
      <c r="I621" s="2"/>
      <c r="J621" s="2"/>
    </row>
    <row r="622" spans="1:10" x14ac:dyDescent="0.2">
      <c r="A622" s="2"/>
      <c r="B622" s="2"/>
      <c r="C622" s="2"/>
      <c r="D622" s="2"/>
      <c r="E622" s="2"/>
      <c r="F622" s="2"/>
      <c r="G622" s="2"/>
      <c r="H622" s="2"/>
      <c r="I622" s="2"/>
      <c r="J622" s="2"/>
    </row>
    <row r="623" spans="1:10" x14ac:dyDescent="0.2">
      <c r="A623" s="2"/>
      <c r="B623" s="2"/>
      <c r="C623" s="2"/>
      <c r="D623" s="2"/>
      <c r="E623" s="2"/>
      <c r="F623" s="2"/>
      <c r="G623" s="2"/>
      <c r="H623" s="2"/>
      <c r="I623" s="2"/>
      <c r="J623" s="2"/>
    </row>
    <row r="624" spans="1:10" x14ac:dyDescent="0.2">
      <c r="A624" s="2"/>
      <c r="B624" s="2"/>
      <c r="C624" s="2"/>
      <c r="D624" s="2"/>
      <c r="E624" s="2"/>
      <c r="F624" s="2"/>
      <c r="G624" s="2"/>
      <c r="H624" s="2"/>
      <c r="I624" s="2"/>
      <c r="J624" s="2"/>
    </row>
    <row r="625" spans="1:10" x14ac:dyDescent="0.2">
      <c r="A625" s="2"/>
      <c r="B625" s="2"/>
      <c r="C625" s="2"/>
      <c r="D625" s="2"/>
      <c r="E625" s="2"/>
      <c r="F625" s="2"/>
      <c r="G625" s="2"/>
      <c r="H625" s="2"/>
      <c r="I625" s="2"/>
      <c r="J625" s="2"/>
    </row>
    <row r="626" spans="1:10" x14ac:dyDescent="0.2">
      <c r="A626" s="2"/>
      <c r="B626" s="2"/>
      <c r="C626" s="2"/>
      <c r="D626" s="2"/>
      <c r="E626" s="2"/>
      <c r="F626" s="2"/>
      <c r="G626" s="2"/>
      <c r="H626" s="2"/>
      <c r="I626" s="2"/>
      <c r="J626" s="2"/>
    </row>
    <row r="627" spans="1:10" x14ac:dyDescent="0.2">
      <c r="A627" s="2"/>
      <c r="B627" s="2"/>
      <c r="C627" s="2"/>
      <c r="D627" s="2"/>
      <c r="E627" s="2"/>
      <c r="F627" s="2"/>
      <c r="G627" s="2"/>
      <c r="H627" s="2"/>
      <c r="I627" s="2"/>
      <c r="J627" s="2"/>
    </row>
    <row r="628" spans="1:10" x14ac:dyDescent="0.2">
      <c r="A628" s="2"/>
      <c r="B628" s="2"/>
      <c r="C628" s="2"/>
      <c r="D628" s="2"/>
      <c r="E628" s="2"/>
      <c r="F628" s="2"/>
      <c r="G628" s="2"/>
      <c r="H628" s="2"/>
      <c r="I628" s="2"/>
      <c r="J628" s="2"/>
    </row>
    <row r="629" spans="1:10" x14ac:dyDescent="0.2">
      <c r="A629" s="2"/>
      <c r="B629" s="2"/>
      <c r="C629" s="2"/>
      <c r="D629" s="2"/>
      <c r="E629" s="2"/>
      <c r="F629" s="2"/>
      <c r="G629" s="2"/>
      <c r="H629" s="2"/>
      <c r="I629" s="2"/>
      <c r="J629" s="2"/>
    </row>
    <row r="630" spans="1:10" x14ac:dyDescent="0.2">
      <c r="A630" s="2"/>
      <c r="B630" s="2"/>
      <c r="C630" s="2"/>
      <c r="D630" s="2"/>
      <c r="E630" s="2"/>
      <c r="F630" s="2"/>
      <c r="G630" s="2"/>
      <c r="H630" s="2"/>
      <c r="I630" s="2"/>
      <c r="J630" s="2"/>
    </row>
    <row r="631" spans="1:10" x14ac:dyDescent="0.2">
      <c r="A631" s="2"/>
      <c r="B631" s="2"/>
      <c r="C631" s="2"/>
      <c r="D631" s="2"/>
      <c r="E631" s="2"/>
      <c r="F631" s="2"/>
      <c r="G631" s="2"/>
      <c r="H631" s="2"/>
      <c r="I631" s="2"/>
      <c r="J631" s="2"/>
    </row>
    <row r="632" spans="1:10" x14ac:dyDescent="0.2">
      <c r="A632" s="2"/>
      <c r="B632" s="2"/>
      <c r="C632" s="2"/>
      <c r="D632" s="2"/>
      <c r="E632" s="2"/>
      <c r="F632" s="2"/>
      <c r="G632" s="2"/>
      <c r="H632" s="2"/>
      <c r="I632" s="2"/>
      <c r="J632" s="2"/>
    </row>
    <row r="633" spans="1:10" x14ac:dyDescent="0.2">
      <c r="A633" s="2"/>
      <c r="B633" s="2"/>
      <c r="C633" s="2"/>
      <c r="D633" s="2"/>
      <c r="E633" s="2"/>
      <c r="F633" s="2"/>
      <c r="G633" s="2"/>
      <c r="H633" s="2"/>
      <c r="I633" s="2"/>
      <c r="J633" s="2"/>
    </row>
    <row r="634" spans="1:10" x14ac:dyDescent="0.2">
      <c r="A634" s="2"/>
      <c r="B634" s="2"/>
      <c r="C634" s="2"/>
      <c r="D634" s="2"/>
      <c r="E634" s="2"/>
      <c r="F634" s="2"/>
      <c r="G634" s="2"/>
      <c r="H634" s="2"/>
      <c r="I634" s="2"/>
      <c r="J634" s="2"/>
    </row>
    <row r="635" spans="1:10" x14ac:dyDescent="0.2">
      <c r="A635" s="2"/>
      <c r="B635" s="2"/>
      <c r="C635" s="2"/>
      <c r="D635" s="2"/>
      <c r="E635" s="2"/>
      <c r="F635" s="2"/>
      <c r="G635" s="2"/>
      <c r="H635" s="2"/>
      <c r="I635" s="2"/>
      <c r="J635" s="2"/>
    </row>
    <row r="636" spans="1:10" x14ac:dyDescent="0.2">
      <c r="A636" s="2"/>
      <c r="B636" s="2"/>
      <c r="C636" s="2"/>
      <c r="D636" s="2"/>
      <c r="E636" s="2"/>
      <c r="F636" s="2"/>
      <c r="G636" s="2"/>
      <c r="H636" s="2"/>
      <c r="I636" s="2"/>
      <c r="J636" s="2"/>
    </row>
    <row r="637" spans="1:10" x14ac:dyDescent="0.2">
      <c r="A637" s="2"/>
      <c r="B637" s="2"/>
      <c r="C637" s="2"/>
      <c r="D637" s="2"/>
      <c r="E637" s="2"/>
      <c r="F637" s="2"/>
      <c r="G637" s="2"/>
      <c r="H637" s="2"/>
      <c r="I637" s="2"/>
      <c r="J637" s="2"/>
    </row>
    <row r="638" spans="1:10" x14ac:dyDescent="0.2">
      <c r="A638" s="2"/>
      <c r="B638" s="2"/>
      <c r="C638" s="2"/>
      <c r="D638" s="2"/>
      <c r="E638" s="2"/>
      <c r="F638" s="2"/>
      <c r="G638" s="2"/>
      <c r="H638" s="2"/>
      <c r="I638" s="2"/>
      <c r="J638" s="2"/>
    </row>
    <row r="639" spans="1:10" x14ac:dyDescent="0.2">
      <c r="A639" s="2"/>
      <c r="B639" s="2"/>
      <c r="C639" s="2"/>
      <c r="D639" s="2"/>
      <c r="E639" s="2"/>
      <c r="F639" s="2"/>
      <c r="G639" s="2"/>
      <c r="H639" s="2"/>
      <c r="I639" s="2"/>
      <c r="J639" s="2"/>
    </row>
    <row r="640" spans="1:10" x14ac:dyDescent="0.2">
      <c r="A640" s="2"/>
      <c r="B640" s="2"/>
      <c r="C640" s="2"/>
      <c r="D640" s="2"/>
      <c r="E640" s="2"/>
      <c r="F640" s="2"/>
      <c r="G640" s="2"/>
      <c r="H640" s="2"/>
      <c r="I640" s="2"/>
      <c r="J640" s="2"/>
    </row>
    <row r="641" spans="1:10" x14ac:dyDescent="0.2">
      <c r="A641" s="2"/>
      <c r="B641" s="2"/>
      <c r="C641" s="2"/>
      <c r="D641" s="2"/>
      <c r="E641" s="2"/>
      <c r="F641" s="2"/>
      <c r="G641" s="2"/>
      <c r="H641" s="2"/>
      <c r="I641" s="2"/>
      <c r="J641" s="2"/>
    </row>
    <row r="642" spans="1:10" x14ac:dyDescent="0.2">
      <c r="A642" s="2"/>
      <c r="B642" s="2"/>
      <c r="C642" s="2"/>
      <c r="D642" s="2"/>
      <c r="E642" s="2"/>
      <c r="F642" s="2"/>
      <c r="G642" s="2"/>
      <c r="H642" s="2"/>
      <c r="I642" s="2"/>
      <c r="J642" s="2"/>
    </row>
    <row r="643" spans="1:10" x14ac:dyDescent="0.2">
      <c r="A643" s="2"/>
      <c r="B643" s="2"/>
      <c r="C643" s="2"/>
      <c r="D643" s="2"/>
      <c r="E643" s="2"/>
      <c r="F643" s="2"/>
      <c r="G643" s="2"/>
      <c r="H643" s="2"/>
      <c r="I643" s="2"/>
      <c r="J643" s="2"/>
    </row>
    <row r="644" spans="1:10" x14ac:dyDescent="0.2">
      <c r="A644" s="2"/>
      <c r="B644" s="2"/>
      <c r="C644" s="2"/>
      <c r="D644" s="2"/>
      <c r="E644" s="2"/>
      <c r="F644" s="2"/>
      <c r="G644" s="2"/>
      <c r="H644" s="2"/>
      <c r="I644" s="2"/>
      <c r="J644" s="2"/>
    </row>
    <row r="645" spans="1:10" x14ac:dyDescent="0.2">
      <c r="A645" s="2"/>
      <c r="B645" s="2"/>
      <c r="C645" s="2"/>
      <c r="D645" s="2"/>
      <c r="E645" s="2"/>
      <c r="F645" s="2"/>
      <c r="G645" s="2"/>
      <c r="H645" s="2"/>
      <c r="I645" s="2"/>
      <c r="J645" s="2"/>
    </row>
    <row r="646" spans="1:10" x14ac:dyDescent="0.2">
      <c r="A646" s="2"/>
      <c r="B646" s="2"/>
      <c r="C646" s="2"/>
      <c r="D646" s="2"/>
      <c r="E646" s="2"/>
      <c r="F646" s="2"/>
      <c r="G646" s="2"/>
      <c r="H646" s="2"/>
      <c r="I646" s="2"/>
      <c r="J646" s="2"/>
    </row>
    <row r="647" spans="1:10" x14ac:dyDescent="0.2">
      <c r="A647" s="2"/>
      <c r="B647" s="2"/>
      <c r="C647" s="2"/>
      <c r="D647" s="2"/>
      <c r="E647" s="2"/>
      <c r="F647" s="2"/>
      <c r="G647" s="2"/>
      <c r="H647" s="2"/>
      <c r="I647" s="2"/>
      <c r="J647" s="2"/>
    </row>
    <row r="648" spans="1:10" x14ac:dyDescent="0.2">
      <c r="A648" s="2"/>
      <c r="B648" s="2"/>
      <c r="C648" s="2"/>
      <c r="D648" s="2"/>
      <c r="E648" s="2"/>
      <c r="F648" s="2"/>
      <c r="G648" s="2"/>
      <c r="H648" s="2"/>
      <c r="I648" s="2"/>
      <c r="J648" s="2"/>
    </row>
    <row r="649" spans="1:10" x14ac:dyDescent="0.2">
      <c r="A649" s="2"/>
      <c r="B649" s="2"/>
      <c r="C649" s="2"/>
      <c r="D649" s="2"/>
      <c r="E649" s="2"/>
      <c r="F649" s="2"/>
      <c r="G649" s="2"/>
      <c r="H649" s="2"/>
      <c r="I649" s="2"/>
      <c r="J649" s="2"/>
    </row>
    <row r="650" spans="1:10" x14ac:dyDescent="0.2">
      <c r="A650" s="2"/>
      <c r="B650" s="2"/>
      <c r="C650" s="2"/>
      <c r="D650" s="2"/>
      <c r="E650" s="2"/>
      <c r="F650" s="2"/>
      <c r="G650" s="2"/>
      <c r="H650" s="2"/>
      <c r="I650" s="2"/>
      <c r="J650" s="2"/>
    </row>
    <row r="651" spans="1:10" x14ac:dyDescent="0.2">
      <c r="A651" s="2"/>
      <c r="B651" s="2"/>
      <c r="C651" s="2"/>
      <c r="D651" s="2"/>
      <c r="E651" s="2"/>
      <c r="F651" s="2"/>
      <c r="G651" s="2"/>
      <c r="H651" s="2"/>
      <c r="I651" s="2"/>
      <c r="J651" s="2"/>
    </row>
    <row r="652" spans="1:10" x14ac:dyDescent="0.2">
      <c r="A652" s="2"/>
      <c r="B652" s="2"/>
      <c r="C652" s="2"/>
      <c r="D652" s="2"/>
      <c r="E652" s="2"/>
      <c r="F652" s="2"/>
      <c r="G652" s="2"/>
      <c r="H652" s="2"/>
      <c r="I652" s="2"/>
      <c r="J652" s="2"/>
    </row>
    <row r="653" spans="1:10" x14ac:dyDescent="0.2">
      <c r="A653" s="2"/>
      <c r="B653" s="2"/>
      <c r="C653" s="2"/>
      <c r="D653" s="2"/>
      <c r="E653" s="2"/>
      <c r="F653" s="2"/>
      <c r="G653" s="2"/>
      <c r="H653" s="2"/>
      <c r="I653" s="2"/>
      <c r="J653" s="2"/>
    </row>
    <row r="654" spans="1:10" x14ac:dyDescent="0.2">
      <c r="A654" s="2"/>
      <c r="B654" s="2"/>
      <c r="C654" s="2"/>
      <c r="D654" s="2"/>
      <c r="E654" s="2"/>
      <c r="F654" s="2"/>
      <c r="G654" s="2"/>
      <c r="H654" s="2"/>
      <c r="I654" s="2"/>
      <c r="J654" s="2"/>
    </row>
    <row r="655" spans="1:10" x14ac:dyDescent="0.2">
      <c r="A655" s="2"/>
      <c r="B655" s="2"/>
      <c r="C655" s="2"/>
      <c r="D655" s="2"/>
      <c r="E655" s="2"/>
      <c r="F655" s="2"/>
      <c r="G655" s="2"/>
      <c r="H655" s="2"/>
      <c r="I655" s="2"/>
      <c r="J655" s="2"/>
    </row>
    <row r="656" spans="1:10" x14ac:dyDescent="0.2">
      <c r="A656" s="2"/>
      <c r="B656" s="2"/>
      <c r="C656" s="2"/>
      <c r="D656" s="2"/>
      <c r="E656" s="2"/>
      <c r="F656" s="2"/>
      <c r="G656" s="2"/>
      <c r="H656" s="2"/>
      <c r="I656" s="2"/>
      <c r="J656" s="2"/>
    </row>
    <row r="657" spans="1:10" x14ac:dyDescent="0.2">
      <c r="A657" s="2"/>
      <c r="B657" s="2"/>
      <c r="C657" s="2"/>
      <c r="D657" s="2"/>
      <c r="E657" s="2"/>
      <c r="F657" s="2"/>
      <c r="G657" s="2"/>
      <c r="H657" s="2"/>
      <c r="I657" s="2"/>
      <c r="J657" s="2"/>
    </row>
    <row r="658" spans="1:10" x14ac:dyDescent="0.2">
      <c r="A658" s="2"/>
      <c r="B658" s="2"/>
      <c r="C658" s="2"/>
      <c r="D658" s="2"/>
      <c r="E658" s="2"/>
      <c r="F658" s="2"/>
      <c r="G658" s="2"/>
      <c r="H658" s="2"/>
      <c r="I658" s="2"/>
      <c r="J658" s="2"/>
    </row>
    <row r="659" spans="1:10" x14ac:dyDescent="0.2">
      <c r="A659" s="2"/>
      <c r="B659" s="2"/>
      <c r="C659" s="2"/>
      <c r="D659" s="2"/>
      <c r="E659" s="2"/>
      <c r="F659" s="2"/>
      <c r="G659" s="2"/>
      <c r="H659" s="2"/>
      <c r="I659" s="2"/>
      <c r="J659" s="2"/>
    </row>
    <row r="660" spans="1:10" x14ac:dyDescent="0.2">
      <c r="A660" s="2"/>
      <c r="B660" s="2"/>
      <c r="C660" s="2"/>
      <c r="D660" s="2"/>
      <c r="E660" s="2"/>
      <c r="F660" s="2"/>
      <c r="G660" s="2"/>
      <c r="H660" s="2"/>
      <c r="I660" s="2"/>
      <c r="J660" s="2"/>
    </row>
    <row r="661" spans="1:10" x14ac:dyDescent="0.2">
      <c r="A661" s="2"/>
      <c r="B661" s="2"/>
      <c r="C661" s="2"/>
      <c r="D661" s="2"/>
      <c r="E661" s="2"/>
      <c r="F661" s="2"/>
      <c r="G661" s="2"/>
      <c r="H661" s="2"/>
      <c r="I661" s="2"/>
      <c r="J661" s="2"/>
    </row>
    <row r="662" spans="1:10" x14ac:dyDescent="0.2">
      <c r="A662" s="2"/>
      <c r="B662" s="2"/>
      <c r="C662" s="2"/>
      <c r="D662" s="2"/>
      <c r="E662" s="2"/>
      <c r="F662" s="2"/>
      <c r="G662" s="2"/>
      <c r="H662" s="2"/>
      <c r="I662" s="2"/>
      <c r="J662" s="2"/>
    </row>
    <row r="663" spans="1:10" x14ac:dyDescent="0.2">
      <c r="A663" s="2"/>
      <c r="B663" s="2"/>
      <c r="C663" s="2"/>
      <c r="D663" s="2"/>
      <c r="E663" s="2"/>
      <c r="F663" s="2"/>
      <c r="G663" s="2"/>
      <c r="H663" s="2"/>
      <c r="I663" s="2"/>
      <c r="J663" s="2"/>
    </row>
    <row r="664" spans="1:10" x14ac:dyDescent="0.2">
      <c r="A664" s="2"/>
      <c r="B664" s="2"/>
      <c r="C664" s="2"/>
      <c r="D664" s="2"/>
      <c r="E664" s="2"/>
      <c r="F664" s="2"/>
      <c r="G664" s="2"/>
      <c r="H664" s="2"/>
      <c r="I664" s="2"/>
      <c r="J664" s="2"/>
    </row>
    <row r="665" spans="1:10" x14ac:dyDescent="0.2">
      <c r="A665" s="2"/>
      <c r="B665" s="2"/>
      <c r="C665" s="2"/>
      <c r="D665" s="2"/>
      <c r="E665" s="2"/>
      <c r="F665" s="2"/>
      <c r="G665" s="2"/>
      <c r="H665" s="2"/>
      <c r="I665" s="2"/>
      <c r="J665" s="2"/>
    </row>
    <row r="666" spans="1:10" x14ac:dyDescent="0.2">
      <c r="A666" s="2"/>
      <c r="B666" s="2"/>
      <c r="C666" s="2"/>
      <c r="D666" s="2"/>
      <c r="E666" s="2"/>
      <c r="F666" s="2"/>
      <c r="G666" s="2"/>
      <c r="H666" s="2"/>
      <c r="I666" s="2"/>
      <c r="J666" s="2"/>
    </row>
    <row r="667" spans="1:10" x14ac:dyDescent="0.2">
      <c r="A667" s="2"/>
      <c r="B667" s="2"/>
      <c r="C667" s="2"/>
      <c r="D667" s="2"/>
      <c r="E667" s="2"/>
      <c r="F667" s="2"/>
      <c r="G667" s="2"/>
      <c r="H667" s="2"/>
      <c r="I667" s="2"/>
      <c r="J667" s="2"/>
    </row>
    <row r="668" spans="1:10" x14ac:dyDescent="0.2">
      <c r="A668" s="2"/>
      <c r="B668" s="2"/>
      <c r="C668" s="2"/>
      <c r="D668" s="2"/>
      <c r="E668" s="2"/>
      <c r="F668" s="2"/>
      <c r="G668" s="2"/>
      <c r="H668" s="2"/>
      <c r="I668" s="2"/>
      <c r="J668" s="2"/>
    </row>
    <row r="669" spans="1:10" x14ac:dyDescent="0.2">
      <c r="A669" s="2"/>
      <c r="B669" s="2"/>
      <c r="C669" s="2"/>
      <c r="D669" s="2"/>
      <c r="E669" s="2"/>
      <c r="F669" s="2"/>
      <c r="G669" s="2"/>
      <c r="H669" s="2"/>
      <c r="I669" s="2"/>
      <c r="J669" s="2"/>
    </row>
    <row r="670" spans="1:10" x14ac:dyDescent="0.2">
      <c r="A670" s="2"/>
      <c r="B670" s="2"/>
      <c r="C670" s="2"/>
      <c r="D670" s="2"/>
      <c r="E670" s="2"/>
      <c r="F670" s="2"/>
      <c r="G670" s="2"/>
      <c r="H670" s="2"/>
      <c r="I670" s="2"/>
      <c r="J670" s="2"/>
    </row>
    <row r="671" spans="1:10" x14ac:dyDescent="0.2">
      <c r="A671" s="2"/>
      <c r="B671" s="2"/>
      <c r="C671" s="2"/>
      <c r="D671" s="2"/>
      <c r="E671" s="2"/>
      <c r="F671" s="2"/>
      <c r="G671" s="2"/>
      <c r="H671" s="2"/>
      <c r="I671" s="2"/>
      <c r="J671" s="2"/>
    </row>
    <row r="672" spans="1:10" x14ac:dyDescent="0.2">
      <c r="A672" s="2"/>
      <c r="B672" s="2"/>
      <c r="C672" s="2"/>
      <c r="D672" s="2"/>
      <c r="E672" s="2"/>
      <c r="F672" s="2"/>
      <c r="G672" s="2"/>
      <c r="H672" s="2"/>
      <c r="I672" s="2"/>
      <c r="J672" s="2"/>
    </row>
    <row r="673" spans="1:10" x14ac:dyDescent="0.2">
      <c r="A673" s="2"/>
      <c r="B673" s="2"/>
      <c r="C673" s="2"/>
      <c r="D673" s="2"/>
      <c r="E673" s="2"/>
      <c r="F673" s="2"/>
      <c r="G673" s="2"/>
      <c r="H673" s="2"/>
      <c r="I673" s="2"/>
      <c r="J673" s="2"/>
    </row>
    <row r="674" spans="1:10" x14ac:dyDescent="0.2">
      <c r="A674" s="2"/>
      <c r="B674" s="2"/>
      <c r="C674" s="2"/>
      <c r="D674" s="2"/>
      <c r="E674" s="2"/>
      <c r="F674" s="2"/>
      <c r="G674" s="2"/>
      <c r="H674" s="2"/>
      <c r="I674" s="2"/>
      <c r="J674" s="2"/>
    </row>
    <row r="675" spans="1:10" x14ac:dyDescent="0.2">
      <c r="A675" s="2"/>
      <c r="B675" s="2"/>
      <c r="C675" s="2"/>
      <c r="D675" s="2"/>
      <c r="E675" s="2"/>
      <c r="F675" s="2"/>
      <c r="G675" s="2"/>
      <c r="H675" s="2"/>
      <c r="I675" s="2"/>
      <c r="J675" s="2"/>
    </row>
    <row r="676" spans="1:10" x14ac:dyDescent="0.2">
      <c r="A676" s="2"/>
      <c r="B676" s="2"/>
      <c r="C676" s="2"/>
      <c r="D676" s="2"/>
      <c r="E676" s="2"/>
      <c r="F676" s="2"/>
      <c r="G676" s="2"/>
      <c r="H676" s="2"/>
      <c r="I676" s="2"/>
      <c r="J676" s="2"/>
    </row>
    <row r="677" spans="1:10" x14ac:dyDescent="0.2">
      <c r="A677" s="2"/>
      <c r="B677" s="2"/>
      <c r="C677" s="2"/>
      <c r="D677" s="2"/>
      <c r="E677" s="2"/>
      <c r="F677" s="2"/>
      <c r="G677" s="2"/>
      <c r="H677" s="2"/>
      <c r="I677" s="2"/>
      <c r="J677" s="2"/>
    </row>
    <row r="678" spans="1:10" x14ac:dyDescent="0.2">
      <c r="A678" s="2"/>
      <c r="B678" s="2"/>
      <c r="C678" s="2"/>
      <c r="D678" s="2"/>
      <c r="E678" s="2"/>
      <c r="F678" s="2"/>
      <c r="G678" s="2"/>
      <c r="H678" s="2"/>
      <c r="I678" s="2"/>
      <c r="J678" s="2"/>
    </row>
    <row r="679" spans="1:10" x14ac:dyDescent="0.2">
      <c r="A679" s="2"/>
      <c r="B679" s="2"/>
      <c r="C679" s="2"/>
      <c r="D679" s="2"/>
      <c r="E679" s="2"/>
      <c r="F679" s="2"/>
      <c r="G679" s="2"/>
      <c r="H679" s="2"/>
      <c r="I679" s="2"/>
      <c r="J679" s="2"/>
    </row>
    <row r="680" spans="1:10" x14ac:dyDescent="0.2">
      <c r="A680" s="2"/>
      <c r="B680" s="2"/>
      <c r="C680" s="2"/>
      <c r="D680" s="2"/>
      <c r="E680" s="2"/>
      <c r="F680" s="2"/>
      <c r="G680" s="2"/>
      <c r="H680" s="2"/>
      <c r="I680" s="2"/>
      <c r="J680" s="2"/>
    </row>
    <row r="681" spans="1:10" x14ac:dyDescent="0.2">
      <c r="A681" s="2"/>
      <c r="B681" s="2"/>
      <c r="C681" s="2"/>
      <c r="D681" s="2"/>
      <c r="E681" s="2"/>
      <c r="F681" s="2"/>
      <c r="G681" s="2"/>
      <c r="H681" s="2"/>
      <c r="I681" s="2"/>
      <c r="J681" s="2"/>
    </row>
    <row r="682" spans="1:10" x14ac:dyDescent="0.2">
      <c r="A682" s="2"/>
      <c r="B682" s="2"/>
      <c r="C682" s="2"/>
      <c r="D682" s="2"/>
      <c r="E682" s="2"/>
      <c r="F682" s="2"/>
      <c r="G682" s="2"/>
      <c r="H682" s="2"/>
      <c r="I682" s="2"/>
      <c r="J682" s="2"/>
    </row>
    <row r="683" spans="1:10" x14ac:dyDescent="0.2">
      <c r="A683" s="2"/>
      <c r="B683" s="2"/>
      <c r="C683" s="2"/>
      <c r="D683" s="2"/>
      <c r="E683" s="2"/>
      <c r="F683" s="2"/>
      <c r="G683" s="2"/>
      <c r="H683" s="2"/>
      <c r="I683" s="2"/>
      <c r="J683" s="2"/>
    </row>
    <row r="684" spans="1:10" x14ac:dyDescent="0.2">
      <c r="A684" s="2"/>
      <c r="B684" s="2"/>
      <c r="C684" s="2"/>
      <c r="D684" s="2"/>
      <c r="E684" s="2"/>
      <c r="F684" s="2"/>
      <c r="G684" s="2"/>
      <c r="H684" s="2"/>
      <c r="I684" s="2"/>
      <c r="J684" s="2"/>
    </row>
    <row r="685" spans="1:10" x14ac:dyDescent="0.2">
      <c r="A685" s="2"/>
      <c r="B685" s="2"/>
      <c r="C685" s="2"/>
      <c r="D685" s="2"/>
      <c r="E685" s="2"/>
      <c r="F685" s="2"/>
      <c r="G685" s="2"/>
      <c r="H685" s="2"/>
      <c r="I685" s="2"/>
      <c r="J685" s="2"/>
    </row>
    <row r="686" spans="1:10" x14ac:dyDescent="0.2">
      <c r="A686" s="2"/>
      <c r="B686" s="2"/>
      <c r="C686" s="2"/>
      <c r="D686" s="2"/>
      <c r="E686" s="2"/>
      <c r="F686" s="2"/>
      <c r="G686" s="2"/>
      <c r="H686" s="2"/>
      <c r="I686" s="2"/>
      <c r="J686" s="2"/>
    </row>
    <row r="687" spans="1:10" x14ac:dyDescent="0.2">
      <c r="A687" s="2"/>
      <c r="B687" s="2"/>
      <c r="C687" s="2"/>
      <c r="D687" s="2"/>
      <c r="E687" s="2"/>
      <c r="F687" s="2"/>
      <c r="G687" s="2"/>
      <c r="H687" s="2"/>
      <c r="I687" s="2"/>
      <c r="J687" s="2"/>
    </row>
    <row r="688" spans="1:10" x14ac:dyDescent="0.2">
      <c r="A688" s="2"/>
      <c r="B688" s="2"/>
      <c r="C688" s="2"/>
      <c r="D688" s="2"/>
      <c r="E688" s="2"/>
      <c r="F688" s="2"/>
      <c r="G688" s="2"/>
      <c r="H688" s="2"/>
      <c r="I688" s="2"/>
      <c r="J688" s="2"/>
    </row>
    <row r="689" spans="1:10" x14ac:dyDescent="0.2">
      <c r="A689" s="2"/>
      <c r="B689" s="2"/>
      <c r="C689" s="2"/>
      <c r="D689" s="2"/>
      <c r="E689" s="2"/>
      <c r="F689" s="2"/>
      <c r="G689" s="2"/>
      <c r="H689" s="2"/>
      <c r="I689" s="2"/>
      <c r="J689" s="2"/>
    </row>
    <row r="690" spans="1:10" x14ac:dyDescent="0.2">
      <c r="A690" s="2"/>
      <c r="B690" s="2"/>
      <c r="C690" s="2"/>
      <c r="D690" s="2"/>
      <c r="E690" s="2"/>
      <c r="F690" s="2"/>
      <c r="G690" s="2"/>
      <c r="H690" s="2"/>
      <c r="I690" s="2"/>
      <c r="J690" s="2"/>
    </row>
    <row r="691" spans="1:10" x14ac:dyDescent="0.2">
      <c r="A691" s="2"/>
      <c r="B691" s="2"/>
      <c r="C691" s="2"/>
      <c r="D691" s="2"/>
      <c r="E691" s="2"/>
      <c r="F691" s="2"/>
      <c r="G691" s="2"/>
      <c r="H691" s="2"/>
      <c r="I691" s="2"/>
      <c r="J691" s="2"/>
    </row>
    <row r="692" spans="1:10" x14ac:dyDescent="0.2">
      <c r="A692" s="2"/>
      <c r="B692" s="2"/>
      <c r="C692" s="2"/>
      <c r="D692" s="2"/>
      <c r="E692" s="2"/>
      <c r="F692" s="2"/>
      <c r="G692" s="2"/>
      <c r="H692" s="2"/>
      <c r="I692" s="2"/>
      <c r="J692" s="2"/>
    </row>
    <row r="693" spans="1:10" x14ac:dyDescent="0.2">
      <c r="A693" s="2"/>
      <c r="B693" s="2"/>
      <c r="C693" s="2"/>
      <c r="D693" s="2"/>
      <c r="E693" s="2"/>
      <c r="F693" s="2"/>
      <c r="G693" s="2"/>
      <c r="H693" s="2"/>
      <c r="I693" s="2"/>
      <c r="J693" s="2"/>
    </row>
    <row r="694" spans="1:10" x14ac:dyDescent="0.2">
      <c r="A694" s="2"/>
      <c r="B694" s="2"/>
      <c r="C694" s="2"/>
      <c r="D694" s="2"/>
      <c r="E694" s="2"/>
      <c r="F694" s="2"/>
      <c r="G694" s="2"/>
      <c r="H694" s="2"/>
      <c r="I694" s="2"/>
      <c r="J694" s="2"/>
    </row>
    <row r="695" spans="1:10" x14ac:dyDescent="0.2">
      <c r="A695" s="2"/>
      <c r="B695" s="2"/>
      <c r="C695" s="2"/>
      <c r="D695" s="2"/>
      <c r="E695" s="2"/>
      <c r="F695" s="2"/>
      <c r="G695" s="2"/>
      <c r="H695" s="2"/>
      <c r="I695" s="2"/>
      <c r="J695" s="2"/>
    </row>
    <row r="696" spans="1:10" x14ac:dyDescent="0.2">
      <c r="A696" s="2"/>
      <c r="B696" s="2"/>
      <c r="C696" s="2"/>
      <c r="D696" s="2"/>
      <c r="E696" s="2"/>
      <c r="F696" s="2"/>
      <c r="G696" s="2"/>
      <c r="H696" s="2"/>
      <c r="I696" s="2"/>
      <c r="J696" s="2"/>
    </row>
    <row r="697" spans="1:10" x14ac:dyDescent="0.2">
      <c r="A697" s="2"/>
      <c r="B697" s="2"/>
      <c r="C697" s="2"/>
      <c r="D697" s="2"/>
      <c r="E697" s="2"/>
      <c r="F697" s="2"/>
      <c r="G697" s="2"/>
      <c r="H697" s="2"/>
      <c r="I697" s="2"/>
      <c r="J697" s="2"/>
    </row>
    <row r="698" spans="1:10" x14ac:dyDescent="0.2">
      <c r="A698" s="2"/>
      <c r="B698" s="2"/>
      <c r="C698" s="2"/>
      <c r="D698" s="2"/>
      <c r="E698" s="2"/>
      <c r="F698" s="2"/>
      <c r="G698" s="2"/>
      <c r="H698" s="2"/>
      <c r="I698" s="2"/>
      <c r="J698" s="2"/>
    </row>
    <row r="699" spans="1:10" x14ac:dyDescent="0.2">
      <c r="A699" s="2"/>
      <c r="B699" s="2"/>
      <c r="C699" s="2"/>
      <c r="D699" s="2"/>
      <c r="E699" s="2"/>
      <c r="F699" s="2"/>
      <c r="G699" s="2"/>
      <c r="H699" s="2"/>
      <c r="I699" s="2"/>
      <c r="J699" s="2"/>
    </row>
    <row r="700" spans="1:10" x14ac:dyDescent="0.2">
      <c r="A700" s="2"/>
      <c r="B700" s="2"/>
      <c r="C700" s="2"/>
      <c r="D700" s="2"/>
      <c r="E700" s="2"/>
      <c r="F700" s="2"/>
      <c r="G700" s="2"/>
      <c r="H700" s="2"/>
      <c r="I700" s="2"/>
      <c r="J700" s="2"/>
    </row>
    <row r="701" spans="1:10" x14ac:dyDescent="0.2">
      <c r="A701" s="2"/>
      <c r="B701" s="2"/>
      <c r="C701" s="2"/>
      <c r="D701" s="2"/>
      <c r="E701" s="2"/>
      <c r="F701" s="2"/>
      <c r="G701" s="2"/>
      <c r="H701" s="2"/>
      <c r="I701" s="2"/>
      <c r="J701" s="2"/>
    </row>
    <row r="702" spans="1:10" x14ac:dyDescent="0.2">
      <c r="A702" s="2"/>
      <c r="B702" s="2"/>
      <c r="C702" s="2"/>
      <c r="D702" s="2"/>
      <c r="E702" s="2"/>
      <c r="F702" s="2"/>
      <c r="G702" s="2"/>
      <c r="H702" s="2"/>
      <c r="I702" s="2"/>
      <c r="J702" s="2"/>
    </row>
    <row r="703" spans="1:10" x14ac:dyDescent="0.2">
      <c r="A703" s="2"/>
      <c r="B703" s="2"/>
      <c r="C703" s="2"/>
      <c r="D703" s="2"/>
      <c r="E703" s="2"/>
      <c r="F703" s="2"/>
      <c r="G703" s="2"/>
      <c r="H703" s="2"/>
      <c r="I703" s="2"/>
      <c r="J703" s="2"/>
    </row>
    <row r="704" spans="1:10" x14ac:dyDescent="0.2">
      <c r="A704" s="2"/>
      <c r="B704" s="2"/>
      <c r="C704" s="2"/>
      <c r="D704" s="2"/>
      <c r="E704" s="2"/>
      <c r="F704" s="2"/>
      <c r="G704" s="2"/>
      <c r="H704" s="2"/>
      <c r="I704" s="2"/>
      <c r="J704" s="2"/>
    </row>
    <row r="705" spans="1:10" x14ac:dyDescent="0.2">
      <c r="A705" s="2"/>
      <c r="B705" s="2"/>
      <c r="C705" s="2"/>
      <c r="D705" s="2"/>
      <c r="E705" s="2"/>
      <c r="F705" s="2"/>
      <c r="G705" s="2"/>
      <c r="H705" s="2"/>
      <c r="I705" s="2"/>
      <c r="J705" s="2"/>
    </row>
    <row r="706" spans="1:10" x14ac:dyDescent="0.2">
      <c r="A706" s="2"/>
      <c r="B706" s="2"/>
      <c r="C706" s="2"/>
      <c r="D706" s="2"/>
      <c r="E706" s="2"/>
      <c r="F706" s="2"/>
      <c r="G706" s="2"/>
      <c r="H706" s="2"/>
      <c r="I706" s="2"/>
      <c r="J706" s="2"/>
    </row>
    <row r="707" spans="1:10" x14ac:dyDescent="0.2">
      <c r="A707" s="2"/>
      <c r="B707" s="2"/>
      <c r="C707" s="2"/>
      <c r="D707" s="2"/>
      <c r="E707" s="2"/>
      <c r="F707" s="2"/>
      <c r="G707" s="2"/>
      <c r="H707" s="2"/>
      <c r="I707" s="2"/>
      <c r="J707" s="2"/>
    </row>
    <row r="708" spans="1:10" x14ac:dyDescent="0.2">
      <c r="A708" s="2"/>
      <c r="B708" s="2"/>
      <c r="C708" s="2"/>
      <c r="D708" s="2"/>
      <c r="E708" s="2"/>
      <c r="F708" s="2"/>
      <c r="G708" s="2"/>
      <c r="H708" s="2"/>
      <c r="I708" s="2"/>
      <c r="J708" s="2"/>
    </row>
    <row r="709" spans="1:10" x14ac:dyDescent="0.2">
      <c r="A709" s="2"/>
      <c r="B709" s="2"/>
      <c r="C709" s="2"/>
      <c r="D709" s="2"/>
      <c r="E709" s="2"/>
      <c r="F709" s="2"/>
      <c r="G709" s="2"/>
      <c r="H709" s="2"/>
      <c r="I709" s="2"/>
      <c r="J709" s="2"/>
    </row>
    <row r="710" spans="1:10" x14ac:dyDescent="0.2">
      <c r="A710" s="2"/>
      <c r="B710" s="2"/>
      <c r="C710" s="2"/>
      <c r="D710" s="2"/>
      <c r="E710" s="2"/>
      <c r="F710" s="2"/>
      <c r="G710" s="2"/>
      <c r="H710" s="2"/>
      <c r="I710" s="2"/>
      <c r="J710" s="2"/>
    </row>
    <row r="711" spans="1:10" x14ac:dyDescent="0.2">
      <c r="A711" s="2"/>
      <c r="B711" s="2"/>
      <c r="C711" s="2"/>
      <c r="D711" s="2"/>
      <c r="E711" s="2"/>
      <c r="F711" s="2"/>
      <c r="G711" s="2"/>
      <c r="H711" s="2"/>
      <c r="I711" s="2"/>
      <c r="J711" s="2"/>
    </row>
    <row r="712" spans="1:10" x14ac:dyDescent="0.2">
      <c r="A712" s="2"/>
      <c r="B712" s="2"/>
      <c r="C712" s="2"/>
      <c r="D712" s="2"/>
      <c r="E712" s="2"/>
      <c r="F712" s="2"/>
      <c r="G712" s="2"/>
      <c r="H712" s="2"/>
      <c r="I712" s="2"/>
      <c r="J712" s="2"/>
    </row>
    <row r="713" spans="1:10" x14ac:dyDescent="0.2">
      <c r="A713" s="2"/>
      <c r="B713" s="2"/>
      <c r="C713" s="2"/>
      <c r="D713" s="2"/>
      <c r="E713" s="2"/>
      <c r="F713" s="2"/>
      <c r="G713" s="2"/>
      <c r="H713" s="2"/>
      <c r="I713" s="2"/>
      <c r="J713" s="2"/>
    </row>
    <row r="714" spans="1:10" x14ac:dyDescent="0.2">
      <c r="A714" s="2"/>
      <c r="B714" s="2"/>
      <c r="C714" s="2"/>
      <c r="D714" s="2"/>
      <c r="E714" s="2"/>
      <c r="F714" s="2"/>
      <c r="G714" s="2"/>
      <c r="H714" s="2"/>
      <c r="I714" s="2"/>
      <c r="J714" s="2"/>
    </row>
    <row r="715" spans="1:10" x14ac:dyDescent="0.2">
      <c r="A715" s="2"/>
      <c r="B715" s="2"/>
      <c r="C715" s="2"/>
      <c r="D715" s="2"/>
      <c r="E715" s="2"/>
      <c r="F715" s="2"/>
      <c r="G715" s="2"/>
      <c r="H715" s="2"/>
      <c r="I715" s="2"/>
      <c r="J715" s="2"/>
    </row>
    <row r="716" spans="1:10" x14ac:dyDescent="0.2">
      <c r="A716" s="2"/>
      <c r="B716" s="2"/>
      <c r="C716" s="2"/>
      <c r="D716" s="2"/>
      <c r="E716" s="2"/>
      <c r="F716" s="2"/>
      <c r="G716" s="2"/>
      <c r="H716" s="2"/>
      <c r="I716" s="2"/>
      <c r="J716" s="2"/>
    </row>
    <row r="717" spans="1:10" x14ac:dyDescent="0.2">
      <c r="A717" s="2"/>
      <c r="B717" s="2"/>
      <c r="C717" s="2"/>
      <c r="D717" s="2"/>
      <c r="E717" s="2"/>
      <c r="F717" s="2"/>
      <c r="G717" s="2"/>
      <c r="H717" s="2"/>
      <c r="I717" s="2"/>
      <c r="J717" s="2"/>
    </row>
    <row r="718" spans="1:10" x14ac:dyDescent="0.2">
      <c r="A718" s="2"/>
      <c r="B718" s="2"/>
      <c r="C718" s="2"/>
      <c r="D718" s="2"/>
      <c r="E718" s="2"/>
      <c r="F718" s="2"/>
      <c r="G718" s="2"/>
      <c r="H718" s="2"/>
      <c r="I718" s="2"/>
      <c r="J718" s="2"/>
    </row>
    <row r="719" spans="1:10" x14ac:dyDescent="0.2">
      <c r="A719" s="2"/>
      <c r="B719" s="2"/>
      <c r="C719" s="2"/>
      <c r="D719" s="2"/>
      <c r="E719" s="2"/>
      <c r="F719" s="2"/>
      <c r="G719" s="2"/>
      <c r="H719" s="2"/>
      <c r="I719" s="2"/>
      <c r="J719" s="2"/>
    </row>
    <row r="720" spans="1:10" x14ac:dyDescent="0.2">
      <c r="A720" s="2"/>
      <c r="B720" s="2"/>
      <c r="C720" s="2"/>
      <c r="D720" s="2"/>
      <c r="E720" s="2"/>
      <c r="F720" s="2"/>
      <c r="G720" s="2"/>
      <c r="H720" s="2"/>
      <c r="I720" s="2"/>
      <c r="J720" s="2"/>
    </row>
    <row r="721" spans="1:10" x14ac:dyDescent="0.2">
      <c r="A721" s="2"/>
      <c r="B721" s="2"/>
      <c r="C721" s="2"/>
      <c r="D721" s="2"/>
      <c r="E721" s="2"/>
      <c r="F721" s="2"/>
      <c r="G721" s="2"/>
      <c r="H721" s="2"/>
      <c r="I721" s="2"/>
      <c r="J721" s="2"/>
    </row>
    <row r="722" spans="1:10" x14ac:dyDescent="0.2">
      <c r="A722" s="2"/>
      <c r="B722" s="2"/>
      <c r="C722" s="2"/>
      <c r="D722" s="2"/>
      <c r="E722" s="2"/>
      <c r="F722" s="2"/>
      <c r="G722" s="2"/>
      <c r="H722" s="2"/>
      <c r="I722" s="2"/>
      <c r="J722" s="2"/>
    </row>
    <row r="723" spans="1:10" x14ac:dyDescent="0.2">
      <c r="A723" s="2"/>
      <c r="B723" s="2"/>
      <c r="C723" s="2"/>
      <c r="D723" s="2"/>
      <c r="E723" s="2"/>
      <c r="F723" s="2"/>
      <c r="G723" s="2"/>
      <c r="H723" s="2"/>
      <c r="I723" s="2"/>
      <c r="J723" s="2"/>
    </row>
    <row r="724" spans="1:10" x14ac:dyDescent="0.2">
      <c r="A724" s="2"/>
      <c r="B724" s="2"/>
      <c r="C724" s="2"/>
      <c r="D724" s="2"/>
      <c r="E724" s="2"/>
      <c r="F724" s="2"/>
      <c r="G724" s="2"/>
      <c r="H724" s="2"/>
      <c r="I724" s="2"/>
      <c r="J724" s="2"/>
    </row>
    <row r="725" spans="1:10" x14ac:dyDescent="0.2">
      <c r="A725" s="2"/>
      <c r="B725" s="2"/>
      <c r="C725" s="2"/>
      <c r="D725" s="2"/>
      <c r="E725" s="2"/>
      <c r="F725" s="2"/>
      <c r="G725" s="2"/>
      <c r="H725" s="2"/>
      <c r="I725" s="2"/>
      <c r="J725" s="2"/>
    </row>
    <row r="726" spans="1:10" x14ac:dyDescent="0.2">
      <c r="A726" s="2"/>
      <c r="B726" s="2"/>
      <c r="C726" s="2"/>
      <c r="D726" s="2"/>
      <c r="E726" s="2"/>
      <c r="F726" s="2"/>
      <c r="G726" s="2"/>
      <c r="H726" s="2"/>
      <c r="I726" s="2"/>
      <c r="J726" s="2"/>
    </row>
    <row r="727" spans="1:10" x14ac:dyDescent="0.2">
      <c r="A727" s="2"/>
      <c r="B727" s="2"/>
      <c r="C727" s="2"/>
      <c r="D727" s="2"/>
      <c r="E727" s="2"/>
      <c r="F727" s="2"/>
      <c r="G727" s="2"/>
      <c r="H727" s="2"/>
      <c r="I727" s="2"/>
      <c r="J727" s="2"/>
    </row>
    <row r="728" spans="1:10" x14ac:dyDescent="0.2">
      <c r="A728" s="2"/>
      <c r="B728" s="2"/>
      <c r="C728" s="2"/>
      <c r="D728" s="2"/>
      <c r="E728" s="2"/>
      <c r="F728" s="2"/>
      <c r="G728" s="2"/>
      <c r="H728" s="2"/>
      <c r="I728" s="2"/>
      <c r="J728" s="2"/>
    </row>
    <row r="729" spans="1:10" x14ac:dyDescent="0.2">
      <c r="A729" s="2"/>
      <c r="B729" s="2"/>
      <c r="C729" s="2"/>
      <c r="D729" s="2"/>
      <c r="E729" s="2"/>
      <c r="F729" s="2"/>
      <c r="G729" s="2"/>
      <c r="H729" s="2"/>
      <c r="I729" s="2"/>
      <c r="J729" s="2"/>
    </row>
    <row r="730" spans="1:10" x14ac:dyDescent="0.2">
      <c r="A730" s="2"/>
      <c r="B730" s="2"/>
      <c r="C730" s="2"/>
      <c r="D730" s="2"/>
      <c r="E730" s="2"/>
      <c r="F730" s="2"/>
      <c r="G730" s="2"/>
      <c r="H730" s="2"/>
      <c r="I730" s="2"/>
      <c r="J730" s="2"/>
    </row>
    <row r="731" spans="1:10" x14ac:dyDescent="0.2">
      <c r="A731" s="2"/>
      <c r="B731" s="2"/>
      <c r="C731" s="2"/>
      <c r="D731" s="2"/>
      <c r="E731" s="2"/>
      <c r="F731" s="2"/>
      <c r="G731" s="2"/>
      <c r="H731" s="2"/>
      <c r="I731" s="2"/>
      <c r="J731" s="2"/>
    </row>
    <row r="732" spans="1:10" x14ac:dyDescent="0.2">
      <c r="A732" s="2"/>
      <c r="B732" s="2"/>
      <c r="C732" s="2"/>
      <c r="D732" s="2"/>
      <c r="E732" s="2"/>
      <c r="F732" s="2"/>
      <c r="G732" s="2"/>
      <c r="H732" s="2"/>
      <c r="I732" s="2"/>
      <c r="J732" s="2"/>
    </row>
    <row r="733" spans="1:10" x14ac:dyDescent="0.2">
      <c r="A733" s="2"/>
      <c r="B733" s="2"/>
      <c r="C733" s="2"/>
      <c r="D733" s="2"/>
      <c r="E733" s="2"/>
      <c r="F733" s="2"/>
      <c r="G733" s="2"/>
      <c r="H733" s="2"/>
      <c r="I733" s="2"/>
      <c r="J733" s="2"/>
    </row>
    <row r="734" spans="1:10" x14ac:dyDescent="0.2">
      <c r="A734" s="2"/>
      <c r="B734" s="2"/>
      <c r="C734" s="2"/>
      <c r="D734" s="2"/>
      <c r="E734" s="2"/>
      <c r="F734" s="2"/>
      <c r="G734" s="2"/>
      <c r="H734" s="2"/>
      <c r="I734" s="2"/>
      <c r="J734" s="2"/>
    </row>
    <row r="735" spans="1:10" x14ac:dyDescent="0.2">
      <c r="A735" s="2"/>
      <c r="B735" s="2"/>
      <c r="C735" s="2"/>
      <c r="D735" s="2"/>
      <c r="E735" s="2"/>
      <c r="F735" s="2"/>
      <c r="G735" s="2"/>
      <c r="H735" s="2"/>
      <c r="I735" s="2"/>
      <c r="J735" s="2"/>
    </row>
    <row r="736" spans="1:10" x14ac:dyDescent="0.2">
      <c r="A736" s="2"/>
      <c r="B736" s="2"/>
      <c r="C736" s="2"/>
      <c r="D736" s="2"/>
      <c r="E736" s="2"/>
      <c r="F736" s="2"/>
      <c r="G736" s="2"/>
      <c r="H736" s="2"/>
      <c r="I736" s="2"/>
      <c r="J736" s="2"/>
    </row>
    <row r="737" spans="1:10" x14ac:dyDescent="0.2">
      <c r="A737" s="2"/>
      <c r="B737" s="2"/>
      <c r="C737" s="2"/>
      <c r="D737" s="2"/>
      <c r="E737" s="2"/>
      <c r="F737" s="2"/>
      <c r="G737" s="2"/>
      <c r="H737" s="2"/>
      <c r="I737" s="2"/>
      <c r="J737" s="2"/>
    </row>
    <row r="738" spans="1:10" x14ac:dyDescent="0.2">
      <c r="A738" s="2"/>
      <c r="B738" s="2"/>
      <c r="C738" s="2"/>
      <c r="D738" s="2"/>
      <c r="E738" s="2"/>
      <c r="F738" s="2"/>
      <c r="G738" s="2"/>
      <c r="H738" s="2"/>
      <c r="I738" s="2"/>
      <c r="J738" s="2"/>
    </row>
    <row r="739" spans="1:10" x14ac:dyDescent="0.2">
      <c r="A739" s="2"/>
      <c r="B739" s="2"/>
      <c r="C739" s="2"/>
      <c r="D739" s="2"/>
      <c r="E739" s="2"/>
      <c r="F739" s="2"/>
      <c r="G739" s="2"/>
      <c r="H739" s="2"/>
      <c r="I739" s="2"/>
      <c r="J739" s="2"/>
    </row>
    <row r="740" spans="1:10" x14ac:dyDescent="0.2">
      <c r="A740" s="2"/>
      <c r="B740" s="2"/>
      <c r="C740" s="2"/>
      <c r="D740" s="2"/>
      <c r="E740" s="2"/>
      <c r="F740" s="2"/>
      <c r="G740" s="2"/>
      <c r="H740" s="2"/>
      <c r="I740" s="2"/>
      <c r="J740" s="2"/>
    </row>
    <row r="741" spans="1:10" x14ac:dyDescent="0.2">
      <c r="A741" s="2"/>
      <c r="B741" s="2"/>
      <c r="C741" s="2"/>
      <c r="D741" s="2"/>
      <c r="E741" s="2"/>
      <c r="F741" s="2"/>
      <c r="G741" s="2"/>
      <c r="H741" s="2"/>
      <c r="I741" s="2"/>
      <c r="J741" s="2"/>
    </row>
    <row r="742" spans="1:10" x14ac:dyDescent="0.2">
      <c r="A742" s="2"/>
      <c r="B742" s="2"/>
      <c r="C742" s="2"/>
      <c r="D742" s="2"/>
      <c r="E742" s="2"/>
      <c r="F742" s="2"/>
      <c r="G742" s="2"/>
      <c r="H742" s="2"/>
      <c r="I742" s="2"/>
      <c r="J742" s="2"/>
    </row>
    <row r="743" spans="1:10" x14ac:dyDescent="0.2">
      <c r="A743" s="2"/>
      <c r="B743" s="2"/>
      <c r="C743" s="2"/>
      <c r="D743" s="2"/>
      <c r="E743" s="2"/>
      <c r="F743" s="2"/>
      <c r="G743" s="2"/>
      <c r="H743" s="2"/>
      <c r="I743" s="2"/>
      <c r="J743" s="2"/>
    </row>
    <row r="744" spans="1:10" x14ac:dyDescent="0.2">
      <c r="A744" s="2"/>
      <c r="B744" s="2"/>
      <c r="C744" s="2"/>
      <c r="D744" s="2"/>
      <c r="E744" s="2"/>
      <c r="F744" s="2"/>
      <c r="G744" s="2"/>
      <c r="H744" s="2"/>
      <c r="I744" s="2"/>
      <c r="J744" s="2"/>
    </row>
    <row r="745" spans="1:10" x14ac:dyDescent="0.2">
      <c r="A745" s="2"/>
      <c r="B745" s="2"/>
      <c r="C745" s="2"/>
      <c r="D745" s="2"/>
      <c r="E745" s="2"/>
      <c r="F745" s="2"/>
      <c r="G745" s="2"/>
      <c r="H745" s="2"/>
      <c r="I745" s="2"/>
      <c r="J745" s="2"/>
    </row>
    <row r="746" spans="1:10" x14ac:dyDescent="0.2">
      <c r="A746" s="2"/>
      <c r="B746" s="2"/>
      <c r="C746" s="2"/>
      <c r="D746" s="2"/>
      <c r="E746" s="2"/>
      <c r="F746" s="2"/>
      <c r="G746" s="2"/>
      <c r="H746" s="2"/>
      <c r="I746" s="2"/>
      <c r="J746" s="2"/>
    </row>
    <row r="747" spans="1:10" x14ac:dyDescent="0.2">
      <c r="A747" s="2"/>
      <c r="B747" s="2"/>
      <c r="C747" s="2"/>
      <c r="D747" s="2"/>
      <c r="E747" s="2"/>
      <c r="F747" s="2"/>
      <c r="G747" s="2"/>
      <c r="H747" s="2"/>
      <c r="I747" s="2"/>
      <c r="J747" s="2"/>
    </row>
    <row r="748" spans="1:10" x14ac:dyDescent="0.2">
      <c r="A748" s="2"/>
      <c r="B748" s="2"/>
      <c r="C748" s="2"/>
      <c r="D748" s="2"/>
      <c r="E748" s="2"/>
      <c r="F748" s="2"/>
      <c r="G748" s="2"/>
      <c r="H748" s="2"/>
      <c r="I748" s="2"/>
      <c r="J748" s="2"/>
    </row>
    <row r="749" spans="1:10" x14ac:dyDescent="0.2">
      <c r="A749" s="2"/>
      <c r="B749" s="2"/>
      <c r="C749" s="2"/>
      <c r="D749" s="2"/>
      <c r="E749" s="2"/>
      <c r="F749" s="2"/>
      <c r="G749" s="2"/>
      <c r="H749" s="2"/>
      <c r="I749" s="2"/>
      <c r="J749" s="2"/>
    </row>
    <row r="750" spans="1:10" x14ac:dyDescent="0.2">
      <c r="A750" s="2"/>
      <c r="B750" s="2"/>
      <c r="C750" s="2"/>
      <c r="D750" s="2"/>
      <c r="E750" s="2"/>
      <c r="F750" s="2"/>
      <c r="G750" s="2"/>
      <c r="H750" s="2"/>
      <c r="I750" s="2"/>
      <c r="J750" s="2"/>
    </row>
    <row r="751" spans="1:10" x14ac:dyDescent="0.2">
      <c r="A751" s="2"/>
      <c r="B751" s="2"/>
      <c r="C751" s="2"/>
      <c r="D751" s="2"/>
      <c r="E751" s="2"/>
      <c r="F751" s="2"/>
      <c r="G751" s="2"/>
      <c r="H751" s="2"/>
      <c r="I751" s="2"/>
      <c r="J751" s="2"/>
    </row>
    <row r="752" spans="1:10" x14ac:dyDescent="0.2">
      <c r="A752" s="2"/>
      <c r="B752" s="2"/>
      <c r="C752" s="2"/>
      <c r="D752" s="2"/>
      <c r="E752" s="2"/>
      <c r="F752" s="2"/>
      <c r="G752" s="2"/>
      <c r="H752" s="2"/>
      <c r="I752" s="2"/>
      <c r="J752" s="2"/>
    </row>
    <row r="753" spans="1:10" x14ac:dyDescent="0.2">
      <c r="A753" s="2"/>
      <c r="B753" s="2"/>
      <c r="C753" s="2"/>
      <c r="D753" s="2"/>
      <c r="E753" s="2"/>
      <c r="F753" s="2"/>
      <c r="G753" s="2"/>
      <c r="H753" s="2"/>
      <c r="I753" s="2"/>
      <c r="J753" s="2"/>
    </row>
    <row r="754" spans="1:10" x14ac:dyDescent="0.2">
      <c r="A754" s="2"/>
      <c r="B754" s="2"/>
      <c r="C754" s="2"/>
      <c r="D754" s="2"/>
      <c r="E754" s="2"/>
      <c r="F754" s="2"/>
      <c r="G754" s="2"/>
      <c r="H754" s="2"/>
      <c r="I754" s="2"/>
      <c r="J754" s="2"/>
    </row>
    <row r="755" spans="1:10" x14ac:dyDescent="0.2">
      <c r="A755" s="2"/>
      <c r="B755" s="2"/>
      <c r="C755" s="2"/>
      <c r="D755" s="2"/>
      <c r="E755" s="2"/>
      <c r="F755" s="2"/>
      <c r="G755" s="2"/>
      <c r="H755" s="2"/>
      <c r="I755" s="2"/>
      <c r="J755" s="2"/>
    </row>
    <row r="756" spans="1:10" x14ac:dyDescent="0.2">
      <c r="A756" s="2"/>
      <c r="B756" s="2"/>
      <c r="C756" s="2"/>
      <c r="D756" s="2"/>
      <c r="E756" s="2"/>
      <c r="F756" s="2"/>
      <c r="G756" s="2"/>
      <c r="H756" s="2"/>
      <c r="I756" s="2"/>
      <c r="J756" s="2"/>
    </row>
    <row r="757" spans="1:10" x14ac:dyDescent="0.2">
      <c r="A757" s="2"/>
      <c r="B757" s="2"/>
      <c r="C757" s="2"/>
      <c r="D757" s="2"/>
      <c r="E757" s="2"/>
      <c r="F757" s="2"/>
      <c r="G757" s="2"/>
      <c r="H757" s="2"/>
      <c r="I757" s="2"/>
      <c r="J757" s="2"/>
    </row>
    <row r="758" spans="1:10" x14ac:dyDescent="0.2">
      <c r="A758" s="2"/>
      <c r="B758" s="2"/>
      <c r="C758" s="2"/>
      <c r="D758" s="2"/>
      <c r="E758" s="2"/>
      <c r="F758" s="2"/>
      <c r="G758" s="2"/>
      <c r="H758" s="2"/>
      <c r="I758" s="2"/>
      <c r="J758" s="2"/>
    </row>
    <row r="759" spans="1:10" x14ac:dyDescent="0.2">
      <c r="A759" s="2"/>
      <c r="B759" s="2"/>
      <c r="C759" s="2"/>
      <c r="D759" s="2"/>
      <c r="E759" s="2"/>
      <c r="F759" s="2"/>
      <c r="G759" s="2"/>
      <c r="H759" s="2"/>
      <c r="I759" s="2"/>
      <c r="J759" s="2"/>
    </row>
    <row r="760" spans="1:10" x14ac:dyDescent="0.2">
      <c r="A760" s="2"/>
      <c r="B760" s="2"/>
      <c r="C760" s="2"/>
      <c r="D760" s="2"/>
      <c r="E760" s="2"/>
      <c r="F760" s="2"/>
      <c r="G760" s="2"/>
      <c r="H760" s="2"/>
      <c r="I760" s="2"/>
      <c r="J760" s="2"/>
    </row>
    <row r="761" spans="1:10" x14ac:dyDescent="0.2">
      <c r="A761" s="2"/>
      <c r="B761" s="2"/>
      <c r="C761" s="2"/>
      <c r="D761" s="2"/>
      <c r="E761" s="2"/>
      <c r="F761" s="2"/>
      <c r="G761" s="2"/>
      <c r="H761" s="2"/>
      <c r="I761" s="2"/>
      <c r="J761" s="2"/>
    </row>
    <row r="762" spans="1:10" x14ac:dyDescent="0.2">
      <c r="A762" s="2"/>
      <c r="B762" s="2"/>
      <c r="C762" s="2"/>
      <c r="D762" s="2"/>
      <c r="E762" s="2"/>
      <c r="F762" s="2"/>
      <c r="G762" s="2"/>
      <c r="H762" s="2"/>
      <c r="I762" s="2"/>
      <c r="J762" s="2"/>
    </row>
    <row r="763" spans="1:10" x14ac:dyDescent="0.2">
      <c r="A763" s="2"/>
      <c r="B763" s="2"/>
      <c r="C763" s="2"/>
      <c r="D763" s="2"/>
      <c r="E763" s="2"/>
      <c r="F763" s="2"/>
      <c r="G763" s="2"/>
      <c r="H763" s="2"/>
      <c r="I763" s="2"/>
      <c r="J763" s="2"/>
    </row>
    <row r="764" spans="1:10" x14ac:dyDescent="0.2">
      <c r="A764" s="2"/>
      <c r="B764" s="2"/>
      <c r="C764" s="2"/>
      <c r="D764" s="2"/>
      <c r="E764" s="2"/>
      <c r="F764" s="2"/>
      <c r="G764" s="2"/>
      <c r="H764" s="2"/>
      <c r="I764" s="2"/>
      <c r="J764" s="2"/>
    </row>
    <row r="765" spans="1:10" x14ac:dyDescent="0.2">
      <c r="A765" s="2"/>
      <c r="B765" s="2"/>
      <c r="C765" s="2"/>
      <c r="D765" s="2"/>
      <c r="E765" s="2"/>
      <c r="F765" s="2"/>
      <c r="G765" s="2"/>
      <c r="H765" s="2"/>
      <c r="I765" s="2"/>
      <c r="J765" s="2"/>
    </row>
    <row r="766" spans="1:10" x14ac:dyDescent="0.2">
      <c r="A766" s="2"/>
      <c r="B766" s="2"/>
      <c r="C766" s="2"/>
      <c r="D766" s="2"/>
      <c r="E766" s="2"/>
      <c r="F766" s="2"/>
      <c r="G766" s="2"/>
      <c r="H766" s="2"/>
      <c r="I766" s="2"/>
      <c r="J766" s="2"/>
    </row>
    <row r="767" spans="1:10" x14ac:dyDescent="0.2">
      <c r="A767" s="2"/>
      <c r="B767" s="2"/>
      <c r="C767" s="2"/>
      <c r="D767" s="2"/>
      <c r="E767" s="2"/>
      <c r="F767" s="2"/>
      <c r="G767" s="2"/>
      <c r="H767" s="2"/>
      <c r="I767" s="2"/>
      <c r="J767" s="2"/>
    </row>
    <row r="768" spans="1:10" x14ac:dyDescent="0.2">
      <c r="A768" s="2"/>
      <c r="B768" s="2"/>
      <c r="C768" s="2"/>
      <c r="D768" s="2"/>
      <c r="E768" s="2"/>
      <c r="F768" s="2"/>
      <c r="G768" s="2"/>
      <c r="H768" s="2"/>
      <c r="I768" s="2"/>
      <c r="J768" s="2"/>
    </row>
    <row r="769" spans="1:10" x14ac:dyDescent="0.2">
      <c r="A769" s="2"/>
      <c r="B769" s="2"/>
      <c r="C769" s="2"/>
      <c r="D769" s="2"/>
      <c r="E769" s="2"/>
      <c r="F769" s="2"/>
      <c r="G769" s="2"/>
      <c r="H769" s="2"/>
      <c r="I769" s="2"/>
      <c r="J769" s="2"/>
    </row>
    <row r="770" spans="1:10" x14ac:dyDescent="0.2">
      <c r="A770" s="2"/>
      <c r="B770" s="2"/>
      <c r="C770" s="2"/>
      <c r="D770" s="2"/>
      <c r="E770" s="2"/>
      <c r="F770" s="2"/>
      <c r="G770" s="2"/>
      <c r="H770" s="2"/>
      <c r="I770" s="2"/>
      <c r="J770" s="2"/>
    </row>
    <row r="771" spans="1:10" x14ac:dyDescent="0.2">
      <c r="A771" s="2"/>
      <c r="B771" s="2"/>
      <c r="C771" s="2"/>
      <c r="D771" s="2"/>
      <c r="E771" s="2"/>
      <c r="F771" s="2"/>
      <c r="G771" s="2"/>
      <c r="H771" s="2"/>
      <c r="I771" s="2"/>
      <c r="J771" s="2"/>
    </row>
    <row r="772" spans="1:10" x14ac:dyDescent="0.2">
      <c r="A772" s="2"/>
      <c r="B772" s="2"/>
      <c r="C772" s="2"/>
      <c r="D772" s="2"/>
      <c r="E772" s="2"/>
      <c r="F772" s="2"/>
      <c r="G772" s="2"/>
      <c r="H772" s="2"/>
      <c r="I772" s="2"/>
      <c r="J772" s="2"/>
    </row>
    <row r="773" spans="1:10" x14ac:dyDescent="0.2">
      <c r="A773" s="2"/>
      <c r="B773" s="2"/>
      <c r="C773" s="2"/>
      <c r="D773" s="2"/>
      <c r="E773" s="2"/>
      <c r="F773" s="2"/>
      <c r="G773" s="2"/>
      <c r="H773" s="2"/>
      <c r="I773" s="2"/>
      <c r="J773" s="2"/>
    </row>
    <row r="774" spans="1:10" x14ac:dyDescent="0.2">
      <c r="A774" s="2"/>
      <c r="B774" s="2"/>
      <c r="C774" s="2"/>
      <c r="D774" s="2"/>
      <c r="E774" s="2"/>
      <c r="F774" s="2"/>
      <c r="G774" s="2"/>
      <c r="H774" s="2"/>
      <c r="I774" s="2"/>
      <c r="J774" s="2"/>
    </row>
    <row r="775" spans="1:10" x14ac:dyDescent="0.2">
      <c r="A775" s="2"/>
      <c r="B775" s="2"/>
      <c r="C775" s="2"/>
      <c r="D775" s="2"/>
      <c r="E775" s="2"/>
      <c r="F775" s="2"/>
      <c r="G775" s="2"/>
      <c r="H775" s="2"/>
      <c r="I775" s="2"/>
      <c r="J775" s="2"/>
    </row>
    <row r="776" spans="1:10" x14ac:dyDescent="0.2">
      <c r="A776" s="2"/>
      <c r="B776" s="2"/>
      <c r="C776" s="2"/>
      <c r="D776" s="2"/>
      <c r="E776" s="2"/>
      <c r="F776" s="2"/>
      <c r="G776" s="2"/>
      <c r="H776" s="2"/>
      <c r="I776" s="2"/>
      <c r="J776" s="2"/>
    </row>
    <row r="777" spans="1:10" x14ac:dyDescent="0.2">
      <c r="A777" s="2"/>
      <c r="B777" s="2"/>
      <c r="C777" s="2"/>
      <c r="D777" s="2"/>
      <c r="E777" s="2"/>
      <c r="F777" s="2"/>
      <c r="G777" s="2"/>
      <c r="H777" s="2"/>
      <c r="I777" s="2"/>
      <c r="J777" s="2"/>
    </row>
    <row r="778" spans="1:10" x14ac:dyDescent="0.2">
      <c r="A778" s="2"/>
      <c r="B778" s="2"/>
      <c r="C778" s="2"/>
      <c r="D778" s="2"/>
      <c r="E778" s="2"/>
      <c r="F778" s="2"/>
      <c r="G778" s="2"/>
      <c r="H778" s="2"/>
      <c r="I778" s="2"/>
      <c r="J778" s="2"/>
    </row>
    <row r="779" spans="1:10" x14ac:dyDescent="0.2">
      <c r="A779" s="2"/>
      <c r="B779" s="2"/>
      <c r="C779" s="2"/>
      <c r="D779" s="2"/>
      <c r="E779" s="2"/>
      <c r="F779" s="2"/>
      <c r="G779" s="2"/>
      <c r="H779" s="2"/>
      <c r="I779" s="2"/>
      <c r="J779" s="2"/>
    </row>
    <row r="780" spans="1:10" x14ac:dyDescent="0.2">
      <c r="A780" s="2"/>
      <c r="B780" s="2"/>
      <c r="C780" s="2"/>
      <c r="D780" s="2"/>
      <c r="E780" s="2"/>
      <c r="F780" s="2"/>
      <c r="G780" s="2"/>
      <c r="H780" s="2"/>
      <c r="I780" s="2"/>
      <c r="J780" s="2"/>
    </row>
    <row r="781" spans="1:10" x14ac:dyDescent="0.2">
      <c r="A781" s="2"/>
      <c r="B781" s="2"/>
      <c r="C781" s="2"/>
      <c r="D781" s="2"/>
      <c r="E781" s="2"/>
      <c r="F781" s="2"/>
      <c r="G781" s="2"/>
      <c r="H781" s="2"/>
      <c r="I781" s="2"/>
      <c r="J781" s="2"/>
    </row>
    <row r="782" spans="1:10" x14ac:dyDescent="0.2">
      <c r="A782" s="2"/>
      <c r="B782" s="2"/>
      <c r="C782" s="2"/>
      <c r="D782" s="2"/>
      <c r="E782" s="2"/>
      <c r="F782" s="2"/>
      <c r="G782" s="2"/>
      <c r="H782" s="2"/>
      <c r="I782" s="2"/>
      <c r="J782" s="2"/>
    </row>
    <row r="783" spans="1:10" x14ac:dyDescent="0.2">
      <c r="A783" s="2"/>
      <c r="B783" s="2"/>
      <c r="C783" s="2"/>
      <c r="D783" s="2"/>
      <c r="E783" s="2"/>
      <c r="F783" s="2"/>
      <c r="G783" s="2"/>
      <c r="H783" s="2"/>
      <c r="I783" s="2"/>
      <c r="J783" s="2"/>
    </row>
    <row r="784" spans="1:10" x14ac:dyDescent="0.2">
      <c r="A784" s="2"/>
      <c r="B784" s="2"/>
      <c r="C784" s="2"/>
      <c r="D784" s="2"/>
      <c r="E784" s="2"/>
      <c r="F784" s="2"/>
      <c r="G784" s="2"/>
      <c r="H784" s="2"/>
      <c r="I784" s="2"/>
      <c r="J784" s="2"/>
    </row>
    <row r="785" spans="1:10" x14ac:dyDescent="0.2">
      <c r="A785" s="2"/>
      <c r="B785" s="2"/>
      <c r="C785" s="2"/>
      <c r="D785" s="2"/>
      <c r="E785" s="2"/>
      <c r="F785" s="2"/>
      <c r="G785" s="2"/>
      <c r="H785" s="2"/>
      <c r="I785" s="2"/>
      <c r="J785" s="2"/>
    </row>
    <row r="786" spans="1:10" x14ac:dyDescent="0.2">
      <c r="A786" s="2"/>
      <c r="B786" s="2"/>
      <c r="C786" s="2"/>
      <c r="D786" s="2"/>
      <c r="E786" s="2"/>
      <c r="F786" s="2"/>
      <c r="G786" s="2"/>
      <c r="H786" s="2"/>
      <c r="I786" s="2"/>
      <c r="J786" s="2"/>
    </row>
    <row r="787" spans="1:10" x14ac:dyDescent="0.2">
      <c r="A787" s="2"/>
      <c r="B787" s="2"/>
      <c r="C787" s="2"/>
      <c r="D787" s="2"/>
      <c r="E787" s="2"/>
      <c r="F787" s="2"/>
      <c r="G787" s="2"/>
      <c r="H787" s="2"/>
      <c r="I787" s="2"/>
      <c r="J787" s="2"/>
    </row>
    <row r="788" spans="1:10" x14ac:dyDescent="0.2">
      <c r="A788" s="2"/>
      <c r="B788" s="2"/>
      <c r="C788" s="2"/>
      <c r="D788" s="2"/>
      <c r="E788" s="2"/>
      <c r="F788" s="2"/>
      <c r="G788" s="2"/>
      <c r="H788" s="2"/>
      <c r="I788" s="2"/>
      <c r="J788" s="2"/>
    </row>
    <row r="789" spans="1:10" x14ac:dyDescent="0.2">
      <c r="A789" s="2"/>
      <c r="B789" s="2"/>
      <c r="C789" s="2"/>
      <c r="D789" s="2"/>
      <c r="E789" s="2"/>
      <c r="F789" s="2"/>
      <c r="G789" s="2"/>
      <c r="H789" s="2"/>
      <c r="I789" s="2"/>
      <c r="J789" s="2"/>
    </row>
    <row r="790" spans="1:10" x14ac:dyDescent="0.2">
      <c r="A790" s="2"/>
      <c r="B790" s="2"/>
      <c r="C790" s="2"/>
      <c r="D790" s="2"/>
      <c r="E790" s="2"/>
      <c r="F790" s="2"/>
      <c r="G790" s="2"/>
      <c r="H790" s="2"/>
      <c r="I790" s="2"/>
      <c r="J790" s="2"/>
    </row>
    <row r="791" spans="1:10" x14ac:dyDescent="0.2">
      <c r="A791" s="2"/>
      <c r="B791" s="2"/>
      <c r="C791" s="2"/>
      <c r="D791" s="2"/>
      <c r="E791" s="2"/>
      <c r="F791" s="2"/>
      <c r="G791" s="2"/>
      <c r="H791" s="2"/>
      <c r="I791" s="2"/>
      <c r="J791" s="2"/>
    </row>
    <row r="792" spans="1:10" x14ac:dyDescent="0.2">
      <c r="A792" s="2"/>
      <c r="B792" s="2"/>
      <c r="C792" s="2"/>
      <c r="D792" s="2"/>
      <c r="E792" s="2"/>
      <c r="F792" s="2"/>
      <c r="G792" s="2"/>
      <c r="H792" s="2"/>
      <c r="I792" s="2"/>
      <c r="J792" s="2"/>
    </row>
    <row r="793" spans="1:10" x14ac:dyDescent="0.2">
      <c r="A793" s="2"/>
      <c r="B793" s="2"/>
      <c r="C793" s="2"/>
      <c r="D793" s="2"/>
      <c r="E793" s="2"/>
      <c r="F793" s="2"/>
      <c r="G793" s="2"/>
      <c r="H793" s="2"/>
      <c r="I793" s="2"/>
      <c r="J793" s="2"/>
    </row>
    <row r="794" spans="1:10" x14ac:dyDescent="0.2">
      <c r="A794" s="2"/>
      <c r="B794" s="2"/>
      <c r="C794" s="2"/>
      <c r="D794" s="2"/>
      <c r="E794" s="2"/>
      <c r="F794" s="2"/>
      <c r="G794" s="2"/>
      <c r="H794" s="2"/>
      <c r="I794" s="2"/>
      <c r="J794" s="2"/>
    </row>
    <row r="795" spans="1:10" x14ac:dyDescent="0.2">
      <c r="A795" s="2"/>
      <c r="B795" s="2"/>
      <c r="C795" s="2"/>
      <c r="D795" s="2"/>
      <c r="E795" s="2"/>
      <c r="F795" s="2"/>
      <c r="G795" s="2"/>
      <c r="H795" s="2"/>
      <c r="I795" s="2"/>
      <c r="J795" s="2"/>
    </row>
    <row r="796" spans="1:10" x14ac:dyDescent="0.2">
      <c r="A796" s="2"/>
      <c r="B796" s="2"/>
      <c r="C796" s="2"/>
      <c r="D796" s="2"/>
      <c r="E796" s="2"/>
      <c r="F796" s="2"/>
      <c r="G796" s="2"/>
      <c r="H796" s="2"/>
      <c r="I796" s="2"/>
      <c r="J796" s="2"/>
    </row>
    <row r="797" spans="1:10" x14ac:dyDescent="0.2">
      <c r="A797" s="2"/>
      <c r="B797" s="2"/>
      <c r="C797" s="2"/>
      <c r="D797" s="2"/>
      <c r="E797" s="2"/>
      <c r="F797" s="2"/>
      <c r="G797" s="2"/>
      <c r="H797" s="2"/>
      <c r="I797" s="2"/>
      <c r="J797" s="2"/>
    </row>
    <row r="798" spans="1:10" x14ac:dyDescent="0.2">
      <c r="A798" s="2"/>
      <c r="B798" s="2"/>
      <c r="C798" s="2"/>
      <c r="D798" s="2"/>
      <c r="E798" s="2"/>
      <c r="F798" s="2"/>
      <c r="G798" s="2"/>
      <c r="H798" s="2"/>
      <c r="I798" s="2"/>
      <c r="J798" s="2"/>
    </row>
    <row r="799" spans="1:10" x14ac:dyDescent="0.2">
      <c r="A799" s="2"/>
      <c r="B799" s="2"/>
      <c r="C799" s="2"/>
      <c r="D799" s="2"/>
      <c r="E799" s="2"/>
      <c r="F799" s="2"/>
      <c r="G799" s="2"/>
      <c r="H799" s="2"/>
      <c r="I799" s="2"/>
      <c r="J799" s="2"/>
    </row>
    <row r="800" spans="1:10" x14ac:dyDescent="0.2">
      <c r="A800" s="2"/>
      <c r="B800" s="2"/>
      <c r="C800" s="2"/>
      <c r="D800" s="2"/>
      <c r="E800" s="2"/>
      <c r="F800" s="2"/>
      <c r="G800" s="2"/>
      <c r="H800" s="2"/>
      <c r="I800" s="2"/>
      <c r="J800" s="2"/>
    </row>
    <row r="801" spans="1:10" x14ac:dyDescent="0.2">
      <c r="A801" s="2"/>
      <c r="B801" s="2"/>
      <c r="C801" s="2"/>
      <c r="D801" s="2"/>
      <c r="E801" s="2"/>
      <c r="F801" s="2"/>
      <c r="G801" s="2"/>
      <c r="H801" s="2"/>
      <c r="I801" s="2"/>
      <c r="J801" s="2"/>
    </row>
    <row r="802" spans="1:10" x14ac:dyDescent="0.2">
      <c r="A802" s="2"/>
      <c r="B802" s="2"/>
      <c r="C802" s="2"/>
      <c r="D802" s="2"/>
      <c r="E802" s="2"/>
      <c r="F802" s="2"/>
      <c r="G802" s="2"/>
      <c r="H802" s="2"/>
      <c r="I802" s="2"/>
      <c r="J802" s="2"/>
    </row>
    <row r="803" spans="1:10" x14ac:dyDescent="0.2">
      <c r="A803" s="2"/>
      <c r="B803" s="2"/>
      <c r="C803" s="2"/>
      <c r="D803" s="2"/>
      <c r="E803" s="2"/>
      <c r="F803" s="2"/>
      <c r="G803" s="2"/>
      <c r="H803" s="2"/>
      <c r="I803" s="2"/>
      <c r="J803" s="2"/>
    </row>
    <row r="804" spans="1:10" x14ac:dyDescent="0.2">
      <c r="A804" s="2"/>
      <c r="B804" s="2"/>
      <c r="C804" s="2"/>
      <c r="D804" s="2"/>
      <c r="E804" s="2"/>
      <c r="F804" s="2"/>
      <c r="G804" s="2"/>
      <c r="H804" s="2"/>
      <c r="I804" s="2"/>
      <c r="J804" s="2"/>
    </row>
    <row r="805" spans="1:10" x14ac:dyDescent="0.2">
      <c r="A805" s="2"/>
      <c r="B805" s="2"/>
      <c r="C805" s="2"/>
      <c r="D805" s="2"/>
      <c r="E805" s="2"/>
      <c r="F805" s="2"/>
      <c r="G805" s="2"/>
      <c r="H805" s="2"/>
      <c r="I805" s="2"/>
      <c r="J805" s="2"/>
    </row>
    <row r="806" spans="1:10" x14ac:dyDescent="0.2">
      <c r="A806" s="2"/>
      <c r="B806" s="2"/>
      <c r="C806" s="2"/>
      <c r="D806" s="2"/>
      <c r="E806" s="2"/>
      <c r="F806" s="2"/>
      <c r="G806" s="2"/>
      <c r="H806" s="2"/>
      <c r="I806" s="2"/>
      <c r="J806" s="2"/>
    </row>
    <row r="807" spans="1:10" x14ac:dyDescent="0.2">
      <c r="A807" s="2"/>
      <c r="B807" s="2"/>
      <c r="C807" s="2"/>
      <c r="D807" s="2"/>
      <c r="E807" s="2"/>
      <c r="F807" s="2"/>
      <c r="G807" s="2"/>
      <c r="H807" s="2"/>
      <c r="I807" s="2"/>
      <c r="J807" s="2"/>
    </row>
    <row r="808" spans="1:10" x14ac:dyDescent="0.2">
      <c r="A808" s="2"/>
      <c r="B808" s="2"/>
      <c r="C808" s="2"/>
      <c r="D808" s="2"/>
      <c r="E808" s="2"/>
      <c r="F808" s="2"/>
      <c r="G808" s="2"/>
      <c r="H808" s="2"/>
      <c r="I808" s="2"/>
      <c r="J808" s="2"/>
    </row>
    <row r="809" spans="1:10" x14ac:dyDescent="0.2">
      <c r="A809" s="2"/>
      <c r="B809" s="2"/>
      <c r="C809" s="2"/>
      <c r="D809" s="2"/>
      <c r="E809" s="2"/>
      <c r="F809" s="2"/>
      <c r="G809" s="2"/>
      <c r="H809" s="2"/>
      <c r="I809" s="2"/>
      <c r="J809" s="2"/>
    </row>
    <row r="810" spans="1:10" x14ac:dyDescent="0.2">
      <c r="A810" s="2"/>
      <c r="B810" s="2"/>
      <c r="C810" s="2"/>
      <c r="D810" s="2"/>
      <c r="E810" s="2"/>
      <c r="F810" s="2"/>
      <c r="G810" s="2"/>
      <c r="H810" s="2"/>
      <c r="I810" s="2"/>
      <c r="J810" s="2"/>
    </row>
    <row r="811" spans="1:10" x14ac:dyDescent="0.2">
      <c r="A811" s="2"/>
      <c r="B811" s="2"/>
      <c r="C811" s="2"/>
      <c r="D811" s="2"/>
      <c r="E811" s="2"/>
      <c r="F811" s="2"/>
      <c r="G811" s="2"/>
      <c r="H811" s="2"/>
      <c r="I811" s="2"/>
      <c r="J811" s="2"/>
    </row>
    <row r="812" spans="1:10" x14ac:dyDescent="0.2">
      <c r="A812" s="2"/>
      <c r="B812" s="2"/>
      <c r="C812" s="2"/>
      <c r="D812" s="2"/>
      <c r="E812" s="2"/>
      <c r="F812" s="2"/>
      <c r="G812" s="2"/>
      <c r="H812" s="2"/>
      <c r="I812" s="2"/>
      <c r="J812" s="2"/>
    </row>
    <row r="813" spans="1:10" x14ac:dyDescent="0.2">
      <c r="A813" s="2"/>
      <c r="B813" s="2"/>
      <c r="C813" s="2"/>
      <c r="D813" s="2"/>
      <c r="E813" s="2"/>
      <c r="F813" s="2"/>
      <c r="G813" s="2"/>
      <c r="H813" s="2"/>
      <c r="I813" s="2"/>
      <c r="J813" s="2"/>
    </row>
    <row r="814" spans="1:10" x14ac:dyDescent="0.2">
      <c r="A814" s="2"/>
      <c r="B814" s="2"/>
      <c r="C814" s="2"/>
      <c r="D814" s="2"/>
      <c r="E814" s="2"/>
      <c r="F814" s="2"/>
      <c r="G814" s="2"/>
      <c r="H814" s="2"/>
      <c r="I814" s="2"/>
      <c r="J814" s="2"/>
    </row>
    <row r="815" spans="1:10" x14ac:dyDescent="0.2">
      <c r="A815" s="2"/>
      <c r="B815" s="2"/>
      <c r="C815" s="2"/>
      <c r="D815" s="2"/>
      <c r="E815" s="2"/>
      <c r="F815" s="2"/>
      <c r="G815" s="2"/>
      <c r="H815" s="2"/>
      <c r="I815" s="2"/>
      <c r="J815" s="2"/>
    </row>
    <row r="816" spans="1:10" x14ac:dyDescent="0.2">
      <c r="A816" s="2"/>
      <c r="B816" s="2"/>
      <c r="C816" s="2"/>
      <c r="D816" s="2"/>
      <c r="E816" s="2"/>
      <c r="F816" s="2"/>
      <c r="G816" s="2"/>
      <c r="H816" s="2"/>
      <c r="I816" s="2"/>
      <c r="J816" s="2"/>
    </row>
    <row r="817" spans="1:10" x14ac:dyDescent="0.2">
      <c r="A817" s="2"/>
      <c r="B817" s="2"/>
      <c r="C817" s="2"/>
      <c r="D817" s="2"/>
      <c r="E817" s="2"/>
      <c r="F817" s="2"/>
      <c r="G817" s="2"/>
      <c r="H817" s="2"/>
      <c r="I817" s="2"/>
      <c r="J817" s="2"/>
    </row>
    <row r="818" spans="1:10" x14ac:dyDescent="0.2">
      <c r="A818" s="2"/>
      <c r="B818" s="2"/>
      <c r="C818" s="2"/>
      <c r="D818" s="2"/>
      <c r="E818" s="2"/>
      <c r="F818" s="2"/>
      <c r="G818" s="2"/>
      <c r="H818" s="2"/>
      <c r="I818" s="2"/>
      <c r="J818" s="2"/>
    </row>
    <row r="819" spans="1:10" x14ac:dyDescent="0.2">
      <c r="A819" s="2"/>
      <c r="B819" s="2"/>
      <c r="C819" s="2"/>
      <c r="D819" s="2"/>
      <c r="E819" s="2"/>
      <c r="F819" s="2"/>
      <c r="G819" s="2"/>
      <c r="H819" s="2"/>
      <c r="I819" s="2"/>
      <c r="J819" s="2"/>
    </row>
    <row r="820" spans="1:10" x14ac:dyDescent="0.2">
      <c r="A820" s="2"/>
      <c r="B820" s="2"/>
      <c r="C820" s="2"/>
      <c r="D820" s="2"/>
      <c r="E820" s="2"/>
      <c r="F820" s="2"/>
      <c r="G820" s="2"/>
      <c r="H820" s="2"/>
      <c r="I820" s="2"/>
      <c r="J820" s="2"/>
    </row>
    <row r="821" spans="1:10" x14ac:dyDescent="0.2">
      <c r="A821" s="2"/>
      <c r="B821" s="2"/>
      <c r="C821" s="2"/>
      <c r="D821" s="2"/>
      <c r="E821" s="2"/>
      <c r="F821" s="2"/>
      <c r="G821" s="2"/>
      <c r="H821" s="2"/>
      <c r="I821" s="2"/>
      <c r="J821" s="2"/>
    </row>
    <row r="822" spans="1:10" x14ac:dyDescent="0.2">
      <c r="A822" s="2"/>
      <c r="B822" s="2"/>
      <c r="C822" s="2"/>
      <c r="D822" s="2"/>
      <c r="E822" s="2"/>
      <c r="F822" s="2"/>
      <c r="G822" s="2"/>
      <c r="H822" s="2"/>
      <c r="I822" s="2"/>
      <c r="J822" s="2"/>
    </row>
    <row r="823" spans="1:10" x14ac:dyDescent="0.2">
      <c r="A823" s="2"/>
      <c r="B823" s="2"/>
      <c r="C823" s="2"/>
      <c r="D823" s="2"/>
      <c r="E823" s="2"/>
      <c r="F823" s="2"/>
      <c r="G823" s="2"/>
      <c r="H823" s="2"/>
      <c r="I823" s="2"/>
      <c r="J823" s="2"/>
    </row>
    <row r="824" spans="1:10" x14ac:dyDescent="0.2">
      <c r="A824" s="2"/>
      <c r="B824" s="2"/>
      <c r="C824" s="2"/>
      <c r="D824" s="2"/>
      <c r="E824" s="2"/>
      <c r="F824" s="2"/>
      <c r="G824" s="2"/>
      <c r="H824" s="2"/>
      <c r="I824" s="2"/>
      <c r="J824" s="2"/>
    </row>
    <row r="825" spans="1:10" x14ac:dyDescent="0.2">
      <c r="A825" s="2"/>
      <c r="B825" s="2"/>
      <c r="C825" s="2"/>
      <c r="D825" s="2"/>
      <c r="E825" s="2"/>
      <c r="F825" s="2"/>
      <c r="G825" s="2"/>
      <c r="H825" s="2"/>
      <c r="I825" s="2"/>
      <c r="J825" s="2"/>
    </row>
    <row r="826" spans="1:10" x14ac:dyDescent="0.2">
      <c r="A826" s="2"/>
      <c r="B826" s="2"/>
      <c r="C826" s="2"/>
      <c r="D826" s="2"/>
      <c r="E826" s="2"/>
      <c r="F826" s="2"/>
      <c r="G826" s="2"/>
      <c r="H826" s="2"/>
      <c r="I826" s="2"/>
      <c r="J826" s="2"/>
    </row>
    <row r="827" spans="1:10" x14ac:dyDescent="0.2">
      <c r="A827" s="2"/>
      <c r="B827" s="2"/>
      <c r="C827" s="2"/>
      <c r="D827" s="2"/>
      <c r="E827" s="2"/>
      <c r="F827" s="2"/>
      <c r="G827" s="2"/>
      <c r="H827" s="2"/>
      <c r="I827" s="2"/>
      <c r="J827" s="2"/>
    </row>
    <row r="828" spans="1:10" x14ac:dyDescent="0.2">
      <c r="A828" s="2"/>
      <c r="B828" s="2"/>
      <c r="C828" s="2"/>
      <c r="D828" s="2"/>
      <c r="E828" s="2"/>
      <c r="F828" s="2"/>
      <c r="G828" s="2"/>
      <c r="H828" s="2"/>
      <c r="I828" s="2"/>
      <c r="J828" s="2"/>
    </row>
    <row r="829" spans="1:10" x14ac:dyDescent="0.2">
      <c r="A829" s="2"/>
      <c r="B829" s="2"/>
      <c r="C829" s="2"/>
      <c r="D829" s="2"/>
      <c r="E829" s="2"/>
      <c r="F829" s="2"/>
      <c r="G829" s="2"/>
      <c r="H829" s="2"/>
      <c r="I829" s="2"/>
      <c r="J829" s="2"/>
    </row>
    <row r="830" spans="1:10" x14ac:dyDescent="0.2">
      <c r="A830" s="2"/>
      <c r="B830" s="2"/>
      <c r="C830" s="2"/>
      <c r="D830" s="2"/>
      <c r="E830" s="2"/>
      <c r="F830" s="2"/>
      <c r="G830" s="2"/>
      <c r="H830" s="2"/>
      <c r="I830" s="2"/>
      <c r="J830" s="2"/>
    </row>
    <row r="831" spans="1:10" x14ac:dyDescent="0.2">
      <c r="A831" s="2"/>
      <c r="B831" s="2"/>
      <c r="C831" s="2"/>
      <c r="D831" s="2"/>
      <c r="E831" s="2"/>
      <c r="F831" s="2"/>
      <c r="G831" s="2"/>
      <c r="H831" s="2"/>
      <c r="I831" s="2"/>
      <c r="J831" s="2"/>
    </row>
    <row r="832" spans="1:10" x14ac:dyDescent="0.2">
      <c r="A832" s="2"/>
      <c r="B832" s="2"/>
      <c r="C832" s="2"/>
      <c r="D832" s="2"/>
      <c r="E832" s="2"/>
      <c r="F832" s="2"/>
      <c r="G832" s="2"/>
      <c r="H832" s="2"/>
      <c r="I832" s="2"/>
      <c r="J832" s="2"/>
    </row>
    <row r="833" spans="1:10" x14ac:dyDescent="0.2">
      <c r="A833" s="2"/>
      <c r="B833" s="2"/>
      <c r="C833" s="2"/>
      <c r="D833" s="2"/>
      <c r="E833" s="2"/>
      <c r="F833" s="2"/>
      <c r="G833" s="2"/>
      <c r="H833" s="2"/>
      <c r="I833" s="2"/>
      <c r="J833" s="2"/>
    </row>
    <row r="834" spans="1:10" x14ac:dyDescent="0.2">
      <c r="A834" s="2"/>
      <c r="B834" s="2"/>
      <c r="C834" s="2"/>
      <c r="D834" s="2"/>
      <c r="E834" s="2"/>
      <c r="F834" s="2"/>
      <c r="G834" s="2"/>
      <c r="H834" s="2"/>
      <c r="I834" s="2"/>
      <c r="J834" s="2"/>
    </row>
    <row r="835" spans="1:10" x14ac:dyDescent="0.2">
      <c r="A835" s="2"/>
      <c r="B835" s="2"/>
      <c r="C835" s="2"/>
      <c r="D835" s="2"/>
      <c r="E835" s="2"/>
      <c r="F835" s="2"/>
      <c r="G835" s="2"/>
      <c r="H835" s="2"/>
      <c r="I835" s="2"/>
      <c r="J835" s="2"/>
    </row>
    <row r="836" spans="1:10" x14ac:dyDescent="0.2">
      <c r="A836" s="2"/>
      <c r="B836" s="2"/>
      <c r="C836" s="2"/>
      <c r="D836" s="2"/>
      <c r="E836" s="2"/>
      <c r="F836" s="2"/>
      <c r="G836" s="2"/>
      <c r="H836" s="2"/>
      <c r="I836" s="2"/>
      <c r="J836" s="2"/>
    </row>
    <row r="837" spans="1:10" x14ac:dyDescent="0.2">
      <c r="A837" s="2"/>
      <c r="B837" s="2"/>
      <c r="C837" s="2"/>
      <c r="D837" s="2"/>
      <c r="E837" s="2"/>
      <c r="F837" s="2"/>
      <c r="G837" s="2"/>
      <c r="H837" s="2"/>
      <c r="I837" s="2"/>
      <c r="J837" s="2"/>
    </row>
    <row r="838" spans="1:10" x14ac:dyDescent="0.2">
      <c r="A838" s="2"/>
      <c r="B838" s="2"/>
      <c r="C838" s="2"/>
      <c r="D838" s="2"/>
      <c r="E838" s="2"/>
      <c r="F838" s="2"/>
      <c r="G838" s="2"/>
      <c r="H838" s="2"/>
      <c r="I838" s="2"/>
      <c r="J838" s="2"/>
    </row>
    <row r="839" spans="1:10" x14ac:dyDescent="0.2">
      <c r="A839" s="2"/>
      <c r="B839" s="2"/>
      <c r="C839" s="2"/>
      <c r="D839" s="2"/>
      <c r="E839" s="2"/>
      <c r="F839" s="2"/>
      <c r="G839" s="2"/>
      <c r="H839" s="2"/>
      <c r="I839" s="2"/>
      <c r="J839" s="2"/>
    </row>
    <row r="840" spans="1:10" x14ac:dyDescent="0.2">
      <c r="A840" s="2"/>
      <c r="B840" s="2"/>
      <c r="C840" s="2"/>
      <c r="D840" s="2"/>
      <c r="E840" s="2"/>
      <c r="F840" s="2"/>
      <c r="G840" s="2"/>
      <c r="H840" s="2"/>
      <c r="I840" s="2"/>
      <c r="J840" s="2"/>
    </row>
    <row r="841" spans="1:10" x14ac:dyDescent="0.2">
      <c r="A841" s="2"/>
      <c r="B841" s="2"/>
      <c r="C841" s="2"/>
      <c r="D841" s="2"/>
      <c r="E841" s="2"/>
      <c r="F841" s="2"/>
      <c r="G841" s="2"/>
      <c r="H841" s="2"/>
      <c r="I841" s="2"/>
      <c r="J841" s="2"/>
    </row>
    <row r="842" spans="1:10" x14ac:dyDescent="0.2">
      <c r="A842" s="2"/>
      <c r="B842" s="2"/>
      <c r="C842" s="2"/>
      <c r="D842" s="2"/>
      <c r="E842" s="2"/>
      <c r="F842" s="2"/>
      <c r="G842" s="2"/>
      <c r="H842" s="2"/>
      <c r="I842" s="2"/>
      <c r="J842" s="2"/>
    </row>
    <row r="843" spans="1:10" x14ac:dyDescent="0.2">
      <c r="A843" s="2"/>
      <c r="B843" s="2"/>
      <c r="C843" s="2"/>
      <c r="D843" s="2"/>
      <c r="E843" s="2"/>
      <c r="F843" s="2"/>
      <c r="G843" s="2"/>
      <c r="H843" s="2"/>
      <c r="I843" s="2"/>
      <c r="J843" s="2"/>
    </row>
    <row r="844" spans="1:10" x14ac:dyDescent="0.2">
      <c r="A844" s="2"/>
      <c r="B844" s="2"/>
      <c r="C844" s="2"/>
      <c r="D844" s="2"/>
      <c r="E844" s="2"/>
      <c r="F844" s="2"/>
      <c r="G844" s="2"/>
      <c r="H844" s="2"/>
      <c r="I844" s="2"/>
      <c r="J844" s="2"/>
    </row>
    <row r="845" spans="1:10" x14ac:dyDescent="0.2">
      <c r="A845" s="2"/>
      <c r="B845" s="2"/>
      <c r="C845" s="2"/>
      <c r="D845" s="2"/>
      <c r="E845" s="2"/>
      <c r="F845" s="2"/>
      <c r="G845" s="2"/>
      <c r="H845" s="2"/>
      <c r="I845" s="2"/>
      <c r="J845" s="2"/>
    </row>
    <row r="846" spans="1:10" x14ac:dyDescent="0.2">
      <c r="A846" s="2"/>
      <c r="B846" s="2"/>
      <c r="C846" s="2"/>
      <c r="D846" s="2"/>
      <c r="E846" s="2"/>
      <c r="F846" s="2"/>
      <c r="G846" s="2"/>
      <c r="H846" s="2"/>
      <c r="I846" s="2"/>
      <c r="J846" s="2"/>
    </row>
    <row r="847" spans="1:10" x14ac:dyDescent="0.2">
      <c r="A847" s="2"/>
      <c r="B847" s="2"/>
      <c r="C847" s="2"/>
      <c r="D847" s="2"/>
      <c r="E847" s="2"/>
      <c r="F847" s="2"/>
      <c r="G847" s="2"/>
      <c r="H847" s="2"/>
      <c r="I847" s="2"/>
      <c r="J847" s="2"/>
    </row>
    <row r="848" spans="1:10" x14ac:dyDescent="0.2">
      <c r="A848" s="2"/>
      <c r="B848" s="2"/>
      <c r="C848" s="2"/>
      <c r="D848" s="2"/>
      <c r="E848" s="2"/>
      <c r="F848" s="2"/>
      <c r="G848" s="2"/>
      <c r="H848" s="2"/>
      <c r="I848" s="2"/>
      <c r="J848" s="2"/>
    </row>
    <row r="849" spans="1:10" x14ac:dyDescent="0.2">
      <c r="A849" s="2"/>
      <c r="B849" s="2"/>
      <c r="C849" s="2"/>
      <c r="D849" s="2"/>
      <c r="E849" s="2"/>
      <c r="F849" s="2"/>
      <c r="G849" s="2"/>
      <c r="H849" s="2"/>
      <c r="I849" s="2"/>
      <c r="J849" s="2"/>
    </row>
    <row r="850" spans="1:10" x14ac:dyDescent="0.2">
      <c r="A850" s="2"/>
      <c r="B850" s="2"/>
      <c r="C850" s="2"/>
      <c r="D850" s="2"/>
      <c r="E850" s="2"/>
      <c r="F850" s="2"/>
      <c r="G850" s="2"/>
      <c r="H850" s="2"/>
      <c r="I850" s="2"/>
      <c r="J850" s="2"/>
    </row>
    <row r="851" spans="1:10" x14ac:dyDescent="0.2">
      <c r="A851" s="2"/>
      <c r="B851" s="2"/>
      <c r="C851" s="2"/>
      <c r="D851" s="2"/>
      <c r="E851" s="2"/>
      <c r="F851" s="2"/>
      <c r="G851" s="2"/>
      <c r="H851" s="2"/>
      <c r="I851" s="2"/>
      <c r="J851" s="2"/>
    </row>
    <row r="852" spans="1:10" x14ac:dyDescent="0.2">
      <c r="A852" s="2"/>
      <c r="B852" s="2"/>
      <c r="C852" s="2"/>
      <c r="D852" s="2"/>
      <c r="E852" s="2"/>
      <c r="F852" s="2"/>
      <c r="G852" s="2"/>
      <c r="H852" s="2"/>
      <c r="I852" s="2"/>
      <c r="J852" s="2"/>
    </row>
    <row r="853" spans="1:10" x14ac:dyDescent="0.2">
      <c r="A853" s="2"/>
      <c r="B853" s="2"/>
      <c r="C853" s="2"/>
      <c r="D853" s="2"/>
      <c r="E853" s="2"/>
      <c r="F853" s="2"/>
      <c r="G853" s="2"/>
      <c r="H853" s="2"/>
      <c r="I853" s="2"/>
      <c r="J853" s="2"/>
    </row>
    <row r="854" spans="1:10" x14ac:dyDescent="0.2">
      <c r="A854" s="2"/>
      <c r="B854" s="2"/>
      <c r="C854" s="2"/>
      <c r="D854" s="2"/>
      <c r="E854" s="2"/>
      <c r="F854" s="2"/>
      <c r="G854" s="2"/>
      <c r="H854" s="2"/>
      <c r="I854" s="2"/>
      <c r="J854" s="2"/>
    </row>
    <row r="855" spans="1:10" x14ac:dyDescent="0.2">
      <c r="A855" s="2"/>
      <c r="B855" s="2"/>
      <c r="C855" s="2"/>
      <c r="D855" s="2"/>
      <c r="E855" s="2"/>
      <c r="F855" s="2"/>
      <c r="G855" s="2"/>
      <c r="H855" s="2"/>
      <c r="I855" s="2"/>
      <c r="J855" s="2"/>
    </row>
    <row r="856" spans="1:10" x14ac:dyDescent="0.2">
      <c r="A856" s="2"/>
      <c r="B856" s="2"/>
      <c r="C856" s="2"/>
      <c r="D856" s="2"/>
      <c r="E856" s="2"/>
      <c r="F856" s="2"/>
      <c r="G856" s="2"/>
      <c r="H856" s="2"/>
      <c r="I856" s="2"/>
      <c r="J856" s="2"/>
    </row>
    <row r="857" spans="1:10" x14ac:dyDescent="0.2">
      <c r="A857" s="2"/>
      <c r="B857" s="2"/>
      <c r="C857" s="2"/>
      <c r="D857" s="2"/>
      <c r="E857" s="2"/>
      <c r="F857" s="2"/>
      <c r="G857" s="2"/>
      <c r="H857" s="2"/>
      <c r="I857" s="2"/>
      <c r="J857" s="2"/>
    </row>
    <row r="858" spans="1:10" x14ac:dyDescent="0.2">
      <c r="A858" s="2"/>
      <c r="B858" s="2"/>
      <c r="C858" s="2"/>
      <c r="D858" s="2"/>
      <c r="E858" s="2"/>
      <c r="F858" s="2"/>
      <c r="G858" s="2"/>
      <c r="H858" s="2"/>
      <c r="I858" s="2"/>
      <c r="J858" s="2"/>
    </row>
    <row r="859" spans="1:10" x14ac:dyDescent="0.2">
      <c r="A859" s="2"/>
      <c r="B859" s="2"/>
      <c r="C859" s="2"/>
      <c r="D859" s="2"/>
      <c r="E859" s="2"/>
      <c r="F859" s="2"/>
      <c r="G859" s="2"/>
      <c r="H859" s="2"/>
      <c r="I859" s="2"/>
      <c r="J859" s="2"/>
    </row>
    <row r="860" spans="1:10" x14ac:dyDescent="0.2">
      <c r="A860" s="2"/>
      <c r="B860" s="2"/>
      <c r="C860" s="2"/>
      <c r="D860" s="2"/>
      <c r="E860" s="2"/>
      <c r="F860" s="2"/>
      <c r="G860" s="2"/>
      <c r="H860" s="2"/>
      <c r="I860" s="2"/>
      <c r="J860" s="2"/>
    </row>
    <row r="861" spans="1:10" x14ac:dyDescent="0.2">
      <c r="A861" s="2"/>
      <c r="B861" s="2"/>
      <c r="C861" s="2"/>
      <c r="D861" s="2"/>
      <c r="E861" s="2"/>
      <c r="F861" s="2"/>
      <c r="G861" s="2"/>
      <c r="H861" s="2"/>
      <c r="I861" s="2"/>
      <c r="J861" s="2"/>
    </row>
    <row r="862" spans="1:10" x14ac:dyDescent="0.2">
      <c r="A862" s="2"/>
      <c r="B862" s="2"/>
      <c r="C862" s="2"/>
      <c r="D862" s="2"/>
      <c r="E862" s="2"/>
      <c r="F862" s="2"/>
      <c r="G862" s="2"/>
      <c r="H862" s="2"/>
      <c r="I862" s="2"/>
      <c r="J862" s="2"/>
    </row>
    <row r="863" spans="1:10" x14ac:dyDescent="0.2">
      <c r="A863" s="2"/>
      <c r="B863" s="2"/>
      <c r="C863" s="2"/>
      <c r="D863" s="2"/>
      <c r="E863" s="2"/>
      <c r="F863" s="2"/>
      <c r="G863" s="2"/>
      <c r="H863" s="2"/>
      <c r="I863" s="2"/>
      <c r="J863" s="2"/>
    </row>
    <row r="864" spans="1:10" x14ac:dyDescent="0.2">
      <c r="A864" s="2"/>
      <c r="B864" s="2"/>
      <c r="C864" s="2"/>
      <c r="D864" s="2"/>
      <c r="E864" s="2"/>
      <c r="F864" s="2"/>
      <c r="G864" s="2"/>
      <c r="H864" s="2"/>
      <c r="I864" s="2"/>
      <c r="J864" s="2"/>
    </row>
    <row r="865" spans="1:10" x14ac:dyDescent="0.2">
      <c r="A865" s="2"/>
      <c r="B865" s="2"/>
      <c r="C865" s="2"/>
      <c r="D865" s="2"/>
      <c r="E865" s="2"/>
      <c r="F865" s="2"/>
      <c r="G865" s="2"/>
      <c r="H865" s="2"/>
      <c r="I865" s="2"/>
      <c r="J865" s="2"/>
    </row>
    <row r="866" spans="1:10" x14ac:dyDescent="0.2">
      <c r="A866" s="2"/>
      <c r="B866" s="2"/>
      <c r="C866" s="2"/>
      <c r="D866" s="2"/>
      <c r="E866" s="2"/>
      <c r="F866" s="2"/>
      <c r="G866" s="2"/>
      <c r="H866" s="2"/>
      <c r="I866" s="2"/>
      <c r="J866" s="2"/>
    </row>
    <row r="867" spans="1:10" x14ac:dyDescent="0.2">
      <c r="A867" s="2"/>
      <c r="B867" s="2"/>
      <c r="C867" s="2"/>
      <c r="D867" s="2"/>
      <c r="E867" s="2"/>
      <c r="F867" s="2"/>
      <c r="G867" s="2"/>
      <c r="H867" s="2"/>
      <c r="I867" s="2"/>
      <c r="J867" s="2"/>
    </row>
    <row r="868" spans="1:10" x14ac:dyDescent="0.2">
      <c r="A868" s="2"/>
      <c r="B868" s="2"/>
      <c r="C868" s="2"/>
      <c r="D868" s="2"/>
      <c r="E868" s="2"/>
      <c r="F868" s="2"/>
      <c r="G868" s="2"/>
      <c r="H868" s="2"/>
      <c r="I868" s="2"/>
      <c r="J868" s="2"/>
    </row>
    <row r="869" spans="1:10" x14ac:dyDescent="0.2">
      <c r="A869" s="2"/>
      <c r="B869" s="2"/>
      <c r="C869" s="2"/>
      <c r="D869" s="2"/>
      <c r="E869" s="2"/>
      <c r="F869" s="2"/>
      <c r="G869" s="2"/>
      <c r="H869" s="2"/>
      <c r="I869" s="2"/>
      <c r="J869" s="2"/>
    </row>
    <row r="870" spans="1:10" x14ac:dyDescent="0.2">
      <c r="A870" s="2"/>
      <c r="B870" s="2"/>
      <c r="C870" s="2"/>
      <c r="D870" s="2"/>
      <c r="E870" s="2"/>
      <c r="F870" s="2"/>
      <c r="G870" s="2"/>
      <c r="H870" s="2"/>
      <c r="I870" s="2"/>
      <c r="J870" s="2"/>
    </row>
    <row r="871" spans="1:10" x14ac:dyDescent="0.2">
      <c r="A871" s="2"/>
      <c r="B871" s="2"/>
      <c r="C871" s="2"/>
      <c r="D871" s="2"/>
      <c r="E871" s="2"/>
      <c r="F871" s="2"/>
      <c r="G871" s="2"/>
      <c r="H871" s="2"/>
      <c r="I871" s="2"/>
      <c r="J871" s="2"/>
    </row>
    <row r="872" spans="1:10" x14ac:dyDescent="0.2">
      <c r="A872" s="2"/>
      <c r="B872" s="2"/>
      <c r="C872" s="2"/>
      <c r="D872" s="2"/>
      <c r="E872" s="2"/>
      <c r="F872" s="2"/>
      <c r="G872" s="2"/>
      <c r="H872" s="2"/>
      <c r="I872" s="2"/>
      <c r="J872" s="2"/>
    </row>
    <row r="873" spans="1:10" x14ac:dyDescent="0.2">
      <c r="A873" s="2"/>
      <c r="B873" s="2"/>
      <c r="C873" s="2"/>
      <c r="D873" s="2"/>
      <c r="E873" s="2"/>
      <c r="F873" s="2"/>
      <c r="G873" s="2"/>
      <c r="H873" s="2"/>
      <c r="I873" s="2"/>
      <c r="J873" s="2"/>
    </row>
    <row r="874" spans="1:10" x14ac:dyDescent="0.2">
      <c r="A874" s="2"/>
      <c r="B874" s="2"/>
      <c r="C874" s="2"/>
      <c r="D874" s="2"/>
      <c r="E874" s="2"/>
      <c r="F874" s="2"/>
      <c r="G874" s="2"/>
      <c r="H874" s="2"/>
      <c r="I874" s="2"/>
      <c r="J874" s="2"/>
    </row>
    <row r="875" spans="1:10" x14ac:dyDescent="0.2">
      <c r="A875" s="2"/>
      <c r="B875" s="2"/>
      <c r="C875" s="2"/>
      <c r="D875" s="2"/>
      <c r="E875" s="2"/>
      <c r="F875" s="2"/>
      <c r="G875" s="2"/>
      <c r="H875" s="2"/>
      <c r="I875" s="2"/>
      <c r="J875" s="2"/>
    </row>
    <row r="876" spans="1:10" x14ac:dyDescent="0.2">
      <c r="A876" s="2"/>
      <c r="B876" s="2"/>
      <c r="C876" s="2"/>
      <c r="D876" s="2"/>
      <c r="E876" s="2"/>
      <c r="F876" s="2"/>
      <c r="G876" s="2"/>
      <c r="H876" s="2"/>
      <c r="I876" s="2"/>
      <c r="J876" s="2"/>
    </row>
    <row r="877" spans="1:10" x14ac:dyDescent="0.2">
      <c r="A877" s="2"/>
      <c r="B877" s="2"/>
      <c r="C877" s="2"/>
      <c r="D877" s="2"/>
      <c r="E877" s="2"/>
      <c r="F877" s="2"/>
      <c r="G877" s="2"/>
      <c r="H877" s="2"/>
      <c r="I877" s="2"/>
      <c r="J877" s="2"/>
    </row>
    <row r="878" spans="1:10" x14ac:dyDescent="0.2">
      <c r="A878" s="2"/>
      <c r="B878" s="2"/>
      <c r="C878" s="2"/>
      <c r="D878" s="2"/>
      <c r="E878" s="2"/>
      <c r="F878" s="2"/>
      <c r="G878" s="2"/>
      <c r="H878" s="2"/>
      <c r="I878" s="2"/>
      <c r="J878" s="2"/>
    </row>
    <row r="879" spans="1:10" x14ac:dyDescent="0.2">
      <c r="A879" s="2"/>
      <c r="B879" s="2"/>
      <c r="C879" s="2"/>
      <c r="D879" s="2"/>
      <c r="E879" s="2"/>
      <c r="F879" s="2"/>
      <c r="G879" s="2"/>
      <c r="H879" s="2"/>
      <c r="I879" s="2"/>
      <c r="J879" s="2"/>
    </row>
    <row r="880" spans="1:10" x14ac:dyDescent="0.2">
      <c r="A880" s="2"/>
      <c r="B880" s="2"/>
      <c r="C880" s="2"/>
      <c r="D880" s="2"/>
      <c r="E880" s="2"/>
      <c r="F880" s="2"/>
      <c r="G880" s="2"/>
      <c r="H880" s="2"/>
      <c r="I880" s="2"/>
      <c r="J880" s="2"/>
    </row>
    <row r="881" spans="1:10" x14ac:dyDescent="0.2">
      <c r="A881" s="2"/>
      <c r="B881" s="2"/>
      <c r="C881" s="2"/>
      <c r="D881" s="2"/>
      <c r="E881" s="2"/>
      <c r="F881" s="2"/>
      <c r="G881" s="2"/>
      <c r="H881" s="2"/>
      <c r="I881" s="2"/>
      <c r="J881" s="2"/>
    </row>
    <row r="882" spans="1:10" x14ac:dyDescent="0.2">
      <c r="A882" s="2"/>
      <c r="B882" s="2"/>
      <c r="C882" s="2"/>
      <c r="D882" s="2"/>
      <c r="E882" s="2"/>
      <c r="F882" s="2"/>
      <c r="G882" s="2"/>
      <c r="H882" s="2"/>
      <c r="I882" s="2"/>
      <c r="J882" s="2"/>
    </row>
    <row r="883" spans="1:10" x14ac:dyDescent="0.2">
      <c r="A883" s="2"/>
      <c r="B883" s="2"/>
      <c r="C883" s="2"/>
      <c r="D883" s="2"/>
      <c r="E883" s="2"/>
      <c r="F883" s="2"/>
      <c r="G883" s="2"/>
      <c r="H883" s="2"/>
      <c r="I883" s="2"/>
      <c r="J883" s="2"/>
    </row>
    <row r="884" spans="1:10" x14ac:dyDescent="0.2">
      <c r="A884" s="2"/>
      <c r="B884" s="2"/>
      <c r="C884" s="2"/>
      <c r="D884" s="2"/>
      <c r="E884" s="2"/>
      <c r="F884" s="2"/>
      <c r="G884" s="2"/>
      <c r="H884" s="2"/>
      <c r="I884" s="2"/>
      <c r="J884" s="2"/>
    </row>
    <row r="885" spans="1:10" x14ac:dyDescent="0.2">
      <c r="A885" s="2"/>
      <c r="B885" s="2"/>
      <c r="C885" s="2"/>
      <c r="D885" s="2"/>
      <c r="E885" s="2"/>
      <c r="F885" s="2"/>
      <c r="G885" s="2"/>
      <c r="H885" s="2"/>
      <c r="I885" s="2"/>
      <c r="J885" s="2"/>
    </row>
    <row r="886" spans="1:10" x14ac:dyDescent="0.2">
      <c r="A886" s="2"/>
      <c r="B886" s="2"/>
      <c r="C886" s="2"/>
      <c r="D886" s="2"/>
      <c r="E886" s="2"/>
      <c r="F886" s="2"/>
      <c r="G886" s="2"/>
      <c r="H886" s="2"/>
      <c r="I886" s="2"/>
      <c r="J886" s="2"/>
    </row>
    <row r="887" spans="1:10" x14ac:dyDescent="0.2">
      <c r="A887" s="2"/>
      <c r="B887" s="2"/>
      <c r="C887" s="2"/>
      <c r="D887" s="2"/>
      <c r="E887" s="2"/>
      <c r="F887" s="2"/>
      <c r="G887" s="2"/>
      <c r="H887" s="2"/>
      <c r="I887" s="2"/>
      <c r="J887" s="2"/>
    </row>
    <row r="888" spans="1:10" x14ac:dyDescent="0.2">
      <c r="A888" s="2"/>
      <c r="B888" s="2"/>
      <c r="C888" s="2"/>
      <c r="D888" s="2"/>
      <c r="E888" s="2"/>
      <c r="F888" s="2"/>
      <c r="G888" s="2"/>
      <c r="H888" s="2"/>
      <c r="I888" s="2"/>
      <c r="J888" s="2"/>
    </row>
    <row r="889" spans="1:10" x14ac:dyDescent="0.2">
      <c r="A889" s="2"/>
      <c r="B889" s="2"/>
      <c r="C889" s="2"/>
      <c r="D889" s="2"/>
      <c r="E889" s="2"/>
      <c r="F889" s="2"/>
      <c r="G889" s="2"/>
      <c r="H889" s="2"/>
      <c r="I889" s="2"/>
      <c r="J889" s="2"/>
    </row>
    <row r="890" spans="1:10" x14ac:dyDescent="0.2">
      <c r="A890" s="2"/>
      <c r="B890" s="2"/>
      <c r="C890" s="2"/>
      <c r="D890" s="2"/>
      <c r="E890" s="2"/>
      <c r="F890" s="2"/>
      <c r="G890" s="2"/>
      <c r="H890" s="2"/>
      <c r="I890" s="2"/>
      <c r="J890" s="2"/>
    </row>
    <row r="891" spans="1:10" x14ac:dyDescent="0.2">
      <c r="A891" s="2"/>
      <c r="B891" s="2"/>
      <c r="C891" s="2"/>
      <c r="D891" s="2"/>
      <c r="E891" s="2"/>
      <c r="F891" s="2"/>
      <c r="G891" s="2"/>
      <c r="H891" s="2"/>
      <c r="I891" s="2"/>
      <c r="J891" s="2"/>
    </row>
    <row r="892" spans="1:10" x14ac:dyDescent="0.2">
      <c r="A892" s="2"/>
      <c r="B892" s="2"/>
      <c r="C892" s="2"/>
      <c r="D892" s="2"/>
      <c r="E892" s="2"/>
      <c r="F892" s="2"/>
      <c r="G892" s="2"/>
      <c r="H892" s="2"/>
      <c r="I892" s="2"/>
      <c r="J892" s="2"/>
    </row>
    <row r="893" spans="1:10" x14ac:dyDescent="0.2">
      <c r="A893" s="2"/>
      <c r="B893" s="2"/>
      <c r="C893" s="2"/>
      <c r="D893" s="2"/>
      <c r="E893" s="2"/>
      <c r="F893" s="2"/>
      <c r="G893" s="2"/>
      <c r="H893" s="2"/>
      <c r="I893" s="2"/>
      <c r="J893" s="2"/>
    </row>
    <row r="894" spans="1:10" x14ac:dyDescent="0.2">
      <c r="A894" s="2"/>
      <c r="B894" s="2"/>
      <c r="C894" s="2"/>
      <c r="D894" s="2"/>
      <c r="E894" s="2"/>
      <c r="F894" s="2"/>
      <c r="G894" s="2"/>
      <c r="H894" s="2"/>
      <c r="I894" s="2"/>
      <c r="J894" s="2"/>
    </row>
    <row r="895" spans="1:10" x14ac:dyDescent="0.2">
      <c r="A895" s="2"/>
      <c r="B895" s="2"/>
      <c r="C895" s="2"/>
      <c r="D895" s="2"/>
      <c r="E895" s="2"/>
      <c r="F895" s="2"/>
      <c r="G895" s="2"/>
      <c r="H895" s="2"/>
      <c r="I895" s="2"/>
      <c r="J895" s="2"/>
    </row>
    <row r="896" spans="1:10" x14ac:dyDescent="0.2">
      <c r="A896" s="2"/>
      <c r="B896" s="2"/>
      <c r="C896" s="2"/>
      <c r="D896" s="2"/>
      <c r="E896" s="2"/>
      <c r="F896" s="2"/>
      <c r="G896" s="2"/>
      <c r="H896" s="2"/>
      <c r="I896" s="2"/>
      <c r="J896" s="2"/>
    </row>
    <row r="897" spans="1:10" x14ac:dyDescent="0.2">
      <c r="A897" s="2"/>
      <c r="B897" s="2"/>
      <c r="C897" s="2"/>
      <c r="D897" s="2"/>
      <c r="E897" s="2"/>
      <c r="F897" s="2"/>
      <c r="G897" s="2"/>
      <c r="H897" s="2"/>
      <c r="I897" s="2"/>
      <c r="J897" s="2"/>
    </row>
    <row r="898" spans="1:10" x14ac:dyDescent="0.2">
      <c r="A898" s="2"/>
      <c r="B898" s="2"/>
      <c r="C898" s="2"/>
      <c r="D898" s="2"/>
      <c r="E898" s="2"/>
      <c r="F898" s="2"/>
      <c r="G898" s="2"/>
      <c r="H898" s="2"/>
      <c r="I898" s="2"/>
      <c r="J898" s="2"/>
    </row>
    <row r="899" spans="1:10" x14ac:dyDescent="0.2">
      <c r="A899" s="2"/>
      <c r="B899" s="2"/>
      <c r="C899" s="2"/>
      <c r="D899" s="2"/>
      <c r="E899" s="2"/>
      <c r="F899" s="2"/>
      <c r="G899" s="2"/>
      <c r="H899" s="2"/>
      <c r="I899" s="2"/>
      <c r="J899" s="2"/>
    </row>
    <row r="900" spans="1:10" x14ac:dyDescent="0.2">
      <c r="A900" s="2"/>
      <c r="B900" s="2"/>
      <c r="C900" s="2"/>
      <c r="D900" s="2"/>
      <c r="E900" s="2"/>
      <c r="F900" s="2"/>
      <c r="G900" s="2"/>
      <c r="H900" s="2"/>
      <c r="I900" s="2"/>
      <c r="J900" s="2"/>
    </row>
    <row r="901" spans="1:10" x14ac:dyDescent="0.2">
      <c r="A901" s="2"/>
      <c r="B901" s="2"/>
      <c r="C901" s="2"/>
      <c r="D901" s="2"/>
      <c r="E901" s="2"/>
      <c r="F901" s="2"/>
      <c r="G901" s="2"/>
      <c r="H901" s="2"/>
      <c r="I901" s="2"/>
      <c r="J901" s="2"/>
    </row>
    <row r="902" spans="1:10" x14ac:dyDescent="0.2">
      <c r="A902" s="2"/>
      <c r="B902" s="2"/>
      <c r="C902" s="2"/>
      <c r="D902" s="2"/>
      <c r="E902" s="2"/>
      <c r="F902" s="2"/>
      <c r="G902" s="2"/>
      <c r="H902" s="2"/>
      <c r="I902" s="2"/>
      <c r="J902" s="2"/>
    </row>
    <row r="903" spans="1:10" x14ac:dyDescent="0.2">
      <c r="A903" s="2"/>
      <c r="B903" s="2"/>
      <c r="C903" s="2"/>
      <c r="D903" s="2"/>
      <c r="E903" s="2"/>
      <c r="F903" s="2"/>
      <c r="G903" s="2"/>
      <c r="H903" s="2"/>
      <c r="I903" s="2"/>
      <c r="J903" s="2"/>
    </row>
    <row r="904" spans="1:10" x14ac:dyDescent="0.2">
      <c r="A904" s="2"/>
      <c r="B904" s="2"/>
      <c r="C904" s="2"/>
      <c r="D904" s="2"/>
      <c r="E904" s="2"/>
      <c r="F904" s="2"/>
      <c r="G904" s="2"/>
      <c r="H904" s="2"/>
      <c r="I904" s="2"/>
      <c r="J904" s="2"/>
    </row>
    <row r="905" spans="1:10" x14ac:dyDescent="0.2">
      <c r="A905" s="2"/>
      <c r="B905" s="2"/>
      <c r="C905" s="2"/>
      <c r="D905" s="2"/>
      <c r="E905" s="2"/>
      <c r="F905" s="2"/>
      <c r="G905" s="2"/>
      <c r="H905" s="2"/>
      <c r="I905" s="2"/>
      <c r="J905" s="2"/>
    </row>
    <row r="906" spans="1:10" x14ac:dyDescent="0.2">
      <c r="A906" s="2"/>
      <c r="B906" s="2"/>
      <c r="C906" s="2"/>
      <c r="D906" s="2"/>
      <c r="E906" s="2"/>
      <c r="F906" s="2"/>
      <c r="G906" s="2"/>
      <c r="H906" s="2"/>
      <c r="I906" s="2"/>
      <c r="J906" s="2"/>
    </row>
    <row r="907" spans="1:10" x14ac:dyDescent="0.2">
      <c r="A907" s="2"/>
      <c r="B907" s="2"/>
      <c r="C907" s="2"/>
      <c r="D907" s="2"/>
      <c r="E907" s="2"/>
      <c r="F907" s="2"/>
      <c r="G907" s="2"/>
      <c r="H907" s="2"/>
      <c r="I907" s="2"/>
      <c r="J907" s="2"/>
    </row>
    <row r="908" spans="1:10" x14ac:dyDescent="0.2">
      <c r="A908" s="2"/>
      <c r="B908" s="2"/>
      <c r="C908" s="2"/>
      <c r="D908" s="2"/>
      <c r="E908" s="2"/>
      <c r="F908" s="2"/>
      <c r="G908" s="2"/>
      <c r="H908" s="2"/>
      <c r="I908" s="2"/>
      <c r="J908" s="2"/>
    </row>
    <row r="909" spans="1:10" x14ac:dyDescent="0.2">
      <c r="A909" s="2"/>
      <c r="B909" s="2"/>
      <c r="C909" s="2"/>
      <c r="D909" s="2"/>
      <c r="E909" s="2"/>
      <c r="F909" s="2"/>
      <c r="G909" s="2"/>
      <c r="H909" s="2"/>
      <c r="I909" s="2"/>
      <c r="J909" s="2"/>
    </row>
    <row r="910" spans="1:10" x14ac:dyDescent="0.2">
      <c r="A910" s="2"/>
      <c r="B910" s="2"/>
      <c r="C910" s="2"/>
      <c r="D910" s="2"/>
      <c r="E910" s="2"/>
      <c r="F910" s="2"/>
      <c r="G910" s="2"/>
      <c r="H910" s="2"/>
      <c r="I910" s="2"/>
      <c r="J910" s="2"/>
    </row>
    <row r="911" spans="1:10" x14ac:dyDescent="0.2">
      <c r="A911" s="2"/>
      <c r="B911" s="2"/>
      <c r="C911" s="2"/>
      <c r="D911" s="2"/>
      <c r="E911" s="2"/>
      <c r="F911" s="2"/>
      <c r="G911" s="2"/>
      <c r="H911" s="2"/>
      <c r="I911" s="2"/>
      <c r="J911" s="2"/>
    </row>
    <row r="912" spans="1:10" x14ac:dyDescent="0.2">
      <c r="A912" s="2"/>
      <c r="B912" s="2"/>
      <c r="C912" s="2"/>
      <c r="D912" s="2"/>
      <c r="E912" s="2"/>
      <c r="F912" s="2"/>
      <c r="G912" s="2"/>
      <c r="H912" s="2"/>
      <c r="I912" s="2"/>
      <c r="J912" s="2"/>
    </row>
    <row r="913" spans="1:10" x14ac:dyDescent="0.2">
      <c r="A913" s="2"/>
      <c r="B913" s="2"/>
      <c r="C913" s="2"/>
      <c r="D913" s="2"/>
      <c r="E913" s="2"/>
      <c r="F913" s="2"/>
      <c r="G913" s="2"/>
      <c r="H913" s="2"/>
      <c r="I913" s="2"/>
      <c r="J913" s="2"/>
    </row>
    <row r="914" spans="1:10" x14ac:dyDescent="0.2">
      <c r="A914" s="2"/>
      <c r="B914" s="2"/>
      <c r="C914" s="2"/>
      <c r="D914" s="2"/>
      <c r="E914" s="2"/>
      <c r="F914" s="2"/>
      <c r="G914" s="2"/>
      <c r="H914" s="2"/>
      <c r="I914" s="2"/>
      <c r="J914" s="2"/>
    </row>
    <row r="915" spans="1:10" x14ac:dyDescent="0.2">
      <c r="A915" s="2"/>
      <c r="B915" s="2"/>
      <c r="C915" s="2"/>
      <c r="D915" s="2"/>
      <c r="E915" s="2"/>
      <c r="F915" s="2"/>
      <c r="G915" s="2"/>
      <c r="H915" s="2"/>
      <c r="I915" s="2"/>
      <c r="J915" s="2"/>
    </row>
    <row r="916" spans="1:10" x14ac:dyDescent="0.2">
      <c r="A916" s="2"/>
      <c r="B916" s="2"/>
      <c r="C916" s="2"/>
      <c r="D916" s="2"/>
      <c r="E916" s="2"/>
      <c r="F916" s="2"/>
      <c r="G916" s="2"/>
      <c r="H916" s="2"/>
      <c r="I916" s="2"/>
      <c r="J916" s="2"/>
    </row>
    <row r="917" spans="1:10" x14ac:dyDescent="0.2">
      <c r="A917" s="2"/>
      <c r="B917" s="2"/>
      <c r="C917" s="2"/>
      <c r="D917" s="2"/>
      <c r="E917" s="2"/>
      <c r="F917" s="2"/>
      <c r="G917" s="2"/>
      <c r="H917" s="2"/>
      <c r="I917" s="2"/>
      <c r="J917" s="2"/>
    </row>
    <row r="918" spans="1:10" x14ac:dyDescent="0.2">
      <c r="A918" s="2"/>
      <c r="B918" s="2"/>
      <c r="C918" s="2"/>
      <c r="D918" s="2"/>
      <c r="E918" s="2"/>
      <c r="F918" s="2"/>
      <c r="G918" s="2"/>
      <c r="H918" s="2"/>
      <c r="I918" s="2"/>
      <c r="J918" s="2"/>
    </row>
    <row r="919" spans="1:10" x14ac:dyDescent="0.2">
      <c r="A919" s="2"/>
      <c r="B919" s="2"/>
      <c r="C919" s="2"/>
      <c r="D919" s="2"/>
      <c r="E919" s="2"/>
      <c r="F919" s="2"/>
      <c r="G919" s="2"/>
      <c r="H919" s="2"/>
      <c r="I919" s="2"/>
      <c r="J919" s="2"/>
    </row>
    <row r="920" spans="1:10" x14ac:dyDescent="0.2">
      <c r="A920" s="2"/>
      <c r="B920" s="2"/>
      <c r="C920" s="2"/>
      <c r="D920" s="2"/>
      <c r="E920" s="2"/>
      <c r="F920" s="2"/>
      <c r="G920" s="2"/>
      <c r="H920" s="2"/>
      <c r="I920" s="2"/>
      <c r="J920" s="2"/>
    </row>
    <row r="921" spans="1:10" x14ac:dyDescent="0.2">
      <c r="A921" s="2"/>
      <c r="B921" s="2"/>
      <c r="C921" s="2"/>
      <c r="D921" s="2"/>
      <c r="E921" s="2"/>
      <c r="F921" s="2"/>
      <c r="G921" s="2"/>
      <c r="H921" s="2"/>
      <c r="I921" s="2"/>
      <c r="J921" s="2"/>
    </row>
    <row r="922" spans="1:10" x14ac:dyDescent="0.2">
      <c r="A922" s="2"/>
      <c r="B922" s="2"/>
      <c r="C922" s="2"/>
      <c r="D922" s="2"/>
      <c r="E922" s="2"/>
      <c r="F922" s="2"/>
      <c r="G922" s="2"/>
      <c r="H922" s="2"/>
      <c r="I922" s="2"/>
      <c r="J922" s="2"/>
    </row>
    <row r="923" spans="1:10" x14ac:dyDescent="0.2">
      <c r="A923" s="2"/>
      <c r="B923" s="2"/>
      <c r="C923" s="2"/>
      <c r="D923" s="2"/>
      <c r="E923" s="2"/>
      <c r="F923" s="2"/>
      <c r="G923" s="2"/>
      <c r="H923" s="2"/>
      <c r="I923" s="2"/>
      <c r="J923" s="2"/>
    </row>
    <row r="924" spans="1:10" x14ac:dyDescent="0.2">
      <c r="A924" s="2"/>
      <c r="B924" s="2"/>
      <c r="C924" s="2"/>
      <c r="D924" s="2"/>
      <c r="E924" s="2"/>
      <c r="F924" s="2"/>
      <c r="G924" s="2"/>
      <c r="H924" s="2"/>
      <c r="I924" s="2"/>
      <c r="J924" s="2"/>
    </row>
    <row r="925" spans="1:10" x14ac:dyDescent="0.2">
      <c r="A925" s="2"/>
      <c r="B925" s="2"/>
      <c r="C925" s="2"/>
      <c r="D925" s="2"/>
      <c r="E925" s="2"/>
      <c r="F925" s="2"/>
      <c r="G925" s="2"/>
      <c r="H925" s="2"/>
      <c r="I925" s="2"/>
      <c r="J925" s="2"/>
    </row>
    <row r="926" spans="1:10" x14ac:dyDescent="0.2">
      <c r="A926" s="2"/>
      <c r="B926" s="2"/>
      <c r="C926" s="2"/>
      <c r="D926" s="2"/>
      <c r="E926" s="2"/>
      <c r="F926" s="2"/>
      <c r="G926" s="2"/>
      <c r="H926" s="2"/>
      <c r="I926" s="2"/>
      <c r="J926" s="2"/>
    </row>
    <row r="927" spans="1:10" x14ac:dyDescent="0.2">
      <c r="A927" s="2"/>
      <c r="B927" s="2"/>
      <c r="C927" s="2"/>
      <c r="D927" s="2"/>
      <c r="E927" s="2"/>
      <c r="F927" s="2"/>
      <c r="G927" s="2"/>
      <c r="H927" s="2"/>
      <c r="I927" s="2"/>
      <c r="J927" s="2"/>
    </row>
    <row r="928" spans="1:10" x14ac:dyDescent="0.2">
      <c r="A928" s="2"/>
      <c r="B928" s="2"/>
      <c r="C928" s="2"/>
      <c r="D928" s="2"/>
      <c r="E928" s="2"/>
      <c r="F928" s="2"/>
      <c r="G928" s="2"/>
      <c r="H928" s="2"/>
      <c r="I928" s="2"/>
      <c r="J928" s="2"/>
    </row>
    <row r="929" spans="1:10" x14ac:dyDescent="0.2">
      <c r="A929" s="2"/>
      <c r="B929" s="2"/>
      <c r="C929" s="2"/>
      <c r="D929" s="2"/>
      <c r="E929" s="2"/>
      <c r="F929" s="2"/>
      <c r="G929" s="2"/>
      <c r="H929" s="2"/>
      <c r="I929" s="2"/>
      <c r="J929" s="2"/>
    </row>
    <row r="930" spans="1:10" x14ac:dyDescent="0.2">
      <c r="A930" s="2"/>
      <c r="B930" s="2"/>
      <c r="C930" s="2"/>
      <c r="D930" s="2"/>
      <c r="E930" s="2"/>
      <c r="F930" s="2"/>
      <c r="G930" s="2"/>
      <c r="H930" s="2"/>
      <c r="I930" s="2"/>
      <c r="J930" s="2"/>
    </row>
    <row r="931" spans="1:10" x14ac:dyDescent="0.2">
      <c r="A931" s="2"/>
      <c r="B931" s="2"/>
      <c r="C931" s="2"/>
      <c r="D931" s="2"/>
      <c r="E931" s="2"/>
      <c r="F931" s="2"/>
      <c r="G931" s="2"/>
      <c r="H931" s="2"/>
      <c r="I931" s="2"/>
      <c r="J931" s="2"/>
    </row>
    <row r="932" spans="1:10" x14ac:dyDescent="0.2">
      <c r="A932" s="2"/>
      <c r="B932" s="2"/>
      <c r="C932" s="2"/>
      <c r="D932" s="2"/>
      <c r="E932" s="2"/>
      <c r="F932" s="2"/>
      <c r="G932" s="2"/>
      <c r="H932" s="2"/>
      <c r="I932" s="2"/>
      <c r="J932" s="2"/>
    </row>
    <row r="933" spans="1:10" x14ac:dyDescent="0.2">
      <c r="A933" s="2"/>
      <c r="B933" s="2"/>
      <c r="C933" s="2"/>
      <c r="D933" s="2"/>
      <c r="E933" s="2"/>
      <c r="F933" s="2"/>
      <c r="G933" s="2"/>
      <c r="H933" s="2"/>
      <c r="I933" s="2"/>
      <c r="J933" s="2"/>
    </row>
    <row r="934" spans="1:10" x14ac:dyDescent="0.2">
      <c r="A934" s="2"/>
      <c r="B934" s="2"/>
      <c r="C934" s="2"/>
      <c r="D934" s="2"/>
      <c r="E934" s="2"/>
      <c r="F934" s="2"/>
      <c r="G934" s="2"/>
      <c r="H934" s="2"/>
      <c r="I934" s="2"/>
      <c r="J934" s="2"/>
    </row>
    <row r="935" spans="1:10" x14ac:dyDescent="0.2">
      <c r="A935" s="2"/>
      <c r="B935" s="2"/>
      <c r="C935" s="2"/>
      <c r="D935" s="2"/>
      <c r="E935" s="2"/>
      <c r="F935" s="2"/>
      <c r="G935" s="2"/>
      <c r="H935" s="2"/>
      <c r="I935" s="2"/>
      <c r="J935" s="2"/>
    </row>
    <row r="936" spans="1:10" x14ac:dyDescent="0.2">
      <c r="A936" s="2"/>
      <c r="B936" s="2"/>
      <c r="C936" s="2"/>
      <c r="D936" s="2"/>
      <c r="E936" s="2"/>
      <c r="F936" s="2"/>
      <c r="G936" s="2"/>
      <c r="H936" s="2"/>
      <c r="I936" s="2"/>
      <c r="J936" s="2"/>
    </row>
    <row r="937" spans="1:10" x14ac:dyDescent="0.2">
      <c r="A937" s="2"/>
      <c r="B937" s="2"/>
      <c r="C937" s="2"/>
      <c r="D937" s="2"/>
      <c r="E937" s="2"/>
      <c r="F937" s="2"/>
      <c r="G937" s="2"/>
      <c r="H937" s="2"/>
      <c r="I937" s="2"/>
      <c r="J937" s="2"/>
    </row>
    <row r="938" spans="1:10" x14ac:dyDescent="0.2">
      <c r="A938" s="2"/>
      <c r="B938" s="2"/>
      <c r="C938" s="2"/>
      <c r="D938" s="2"/>
      <c r="E938" s="2"/>
      <c r="F938" s="2"/>
      <c r="G938" s="2"/>
      <c r="H938" s="2"/>
      <c r="I938" s="2"/>
      <c r="J938" s="2"/>
    </row>
    <row r="939" spans="1:10" x14ac:dyDescent="0.2">
      <c r="A939" s="2"/>
      <c r="B939" s="2"/>
      <c r="C939" s="2"/>
      <c r="D939" s="2"/>
      <c r="E939" s="2"/>
      <c r="F939" s="2"/>
      <c r="G939" s="2"/>
      <c r="H939" s="2"/>
      <c r="I939" s="2"/>
      <c r="J939" s="2"/>
    </row>
    <row r="940" spans="1:10" x14ac:dyDescent="0.2">
      <c r="A940" s="2"/>
      <c r="B940" s="2"/>
      <c r="C940" s="2"/>
      <c r="D940" s="2"/>
      <c r="E940" s="2"/>
      <c r="F940" s="2"/>
      <c r="G940" s="2"/>
      <c r="H940" s="2"/>
      <c r="I940" s="2"/>
      <c r="J940" s="2"/>
    </row>
    <row r="941" spans="1:10" x14ac:dyDescent="0.2">
      <c r="A941" s="2"/>
      <c r="B941" s="2"/>
      <c r="C941" s="2"/>
      <c r="D941" s="2"/>
      <c r="E941" s="2"/>
      <c r="F941" s="2"/>
      <c r="G941" s="2"/>
      <c r="H941" s="2"/>
      <c r="I941" s="2"/>
      <c r="J941" s="2"/>
    </row>
    <row r="942" spans="1:10" x14ac:dyDescent="0.2">
      <c r="A942" s="2"/>
      <c r="B942" s="2"/>
      <c r="C942" s="2"/>
      <c r="D942" s="2"/>
      <c r="E942" s="2"/>
      <c r="F942" s="2"/>
      <c r="G942" s="2"/>
      <c r="H942" s="2"/>
      <c r="I942" s="2"/>
      <c r="J942" s="2"/>
    </row>
    <row r="943" spans="1:10" x14ac:dyDescent="0.2">
      <c r="A943" s="2"/>
      <c r="B943" s="2"/>
      <c r="C943" s="2"/>
      <c r="D943" s="2"/>
      <c r="E943" s="2"/>
      <c r="F943" s="2"/>
      <c r="G943" s="2"/>
      <c r="H943" s="2"/>
      <c r="I943" s="2"/>
      <c r="J943" s="2"/>
    </row>
    <row r="944" spans="1:10" x14ac:dyDescent="0.2">
      <c r="A944" s="2"/>
      <c r="B944" s="2"/>
      <c r="C944" s="2"/>
      <c r="D944" s="2"/>
      <c r="E944" s="2"/>
      <c r="F944" s="2"/>
      <c r="G944" s="2"/>
      <c r="H944" s="2"/>
      <c r="I944" s="2"/>
      <c r="J944" s="2"/>
    </row>
    <row r="945" spans="1:10" x14ac:dyDescent="0.2">
      <c r="A945" s="2"/>
      <c r="B945" s="2"/>
      <c r="C945" s="2"/>
      <c r="D945" s="2"/>
      <c r="E945" s="2"/>
      <c r="F945" s="2"/>
      <c r="G945" s="2"/>
      <c r="H945" s="2"/>
      <c r="I945" s="2"/>
      <c r="J945" s="2"/>
    </row>
    <row r="946" spans="1:10" x14ac:dyDescent="0.2">
      <c r="A946" s="2"/>
      <c r="B946" s="2"/>
      <c r="C946" s="2"/>
      <c r="D946" s="2"/>
      <c r="E946" s="2"/>
      <c r="F946" s="2"/>
      <c r="G946" s="2"/>
      <c r="H946" s="2"/>
      <c r="I946" s="2"/>
      <c r="J946" s="2"/>
    </row>
    <row r="947" spans="1:10" x14ac:dyDescent="0.2">
      <c r="A947" s="2"/>
      <c r="B947" s="2"/>
      <c r="C947" s="2"/>
      <c r="D947" s="2"/>
      <c r="E947" s="2"/>
      <c r="F947" s="2"/>
      <c r="G947" s="2"/>
      <c r="H947" s="2"/>
      <c r="I947" s="2"/>
      <c r="J947" s="2"/>
    </row>
    <row r="948" spans="1:10" x14ac:dyDescent="0.2">
      <c r="A948" s="2"/>
      <c r="B948" s="2"/>
      <c r="C948" s="2"/>
      <c r="D948" s="2"/>
      <c r="E948" s="2"/>
      <c r="F948" s="2"/>
      <c r="G948" s="2"/>
      <c r="H948" s="2"/>
      <c r="I948" s="2"/>
      <c r="J948" s="2"/>
    </row>
    <row r="949" spans="1:10" x14ac:dyDescent="0.2">
      <c r="A949" s="2"/>
      <c r="B949" s="2"/>
      <c r="C949" s="2"/>
      <c r="D949" s="2"/>
      <c r="E949" s="2"/>
      <c r="F949" s="2"/>
      <c r="G949" s="2"/>
      <c r="H949" s="2"/>
      <c r="I949" s="2"/>
      <c r="J949" s="2"/>
    </row>
    <row r="950" spans="1:10" x14ac:dyDescent="0.2">
      <c r="A950" s="2"/>
      <c r="B950" s="2"/>
      <c r="C950" s="2"/>
      <c r="D950" s="2"/>
      <c r="E950" s="2"/>
      <c r="F950" s="2"/>
      <c r="G950" s="2"/>
      <c r="H950" s="2"/>
      <c r="I950" s="2"/>
      <c r="J950" s="2"/>
    </row>
    <row r="951" spans="1:10" x14ac:dyDescent="0.2">
      <c r="A951" s="2"/>
      <c r="B951" s="2"/>
      <c r="C951" s="2"/>
      <c r="D951" s="2"/>
      <c r="E951" s="2"/>
      <c r="F951" s="2"/>
      <c r="G951" s="2"/>
      <c r="H951" s="2"/>
      <c r="I951" s="2"/>
      <c r="J951" s="2"/>
    </row>
    <row r="952" spans="1:10" x14ac:dyDescent="0.2">
      <c r="A952" s="2"/>
      <c r="B952" s="2"/>
      <c r="C952" s="2"/>
      <c r="D952" s="2"/>
      <c r="E952" s="2"/>
      <c r="F952" s="2"/>
      <c r="G952" s="2"/>
      <c r="H952" s="2"/>
      <c r="I952" s="2"/>
      <c r="J952" s="2"/>
    </row>
    <row r="953" spans="1:10" x14ac:dyDescent="0.2">
      <c r="A953" s="2"/>
      <c r="B953" s="2"/>
      <c r="C953" s="2"/>
      <c r="D953" s="2"/>
      <c r="E953" s="2"/>
      <c r="F953" s="2"/>
      <c r="G953" s="2"/>
      <c r="H953" s="2"/>
      <c r="I953" s="2"/>
      <c r="J953" s="2"/>
    </row>
    <row r="954" spans="1:10" x14ac:dyDescent="0.2">
      <c r="A954" s="2"/>
      <c r="B954" s="2"/>
      <c r="C954" s="2"/>
      <c r="D954" s="2"/>
      <c r="E954" s="2"/>
      <c r="F954" s="2"/>
      <c r="G954" s="2"/>
      <c r="H954" s="2"/>
      <c r="I954" s="2"/>
      <c r="J954" s="2"/>
    </row>
    <row r="955" spans="1:10" x14ac:dyDescent="0.2">
      <c r="A955" s="2"/>
      <c r="B955" s="2"/>
      <c r="C955" s="2"/>
      <c r="D955" s="2"/>
      <c r="E955" s="2"/>
      <c r="F955" s="2"/>
      <c r="G955" s="2"/>
      <c r="H955" s="2"/>
      <c r="I955" s="2"/>
      <c r="J955" s="2"/>
    </row>
    <row r="956" spans="1:10" x14ac:dyDescent="0.2">
      <c r="A956" s="2"/>
      <c r="B956" s="2"/>
      <c r="C956" s="2"/>
      <c r="D956" s="2"/>
      <c r="E956" s="2"/>
      <c r="F956" s="2"/>
      <c r="G956" s="2"/>
      <c r="H956" s="2"/>
      <c r="I956" s="2"/>
      <c r="J956" s="2"/>
    </row>
    <row r="957" spans="1:10" x14ac:dyDescent="0.2">
      <c r="A957" s="2"/>
      <c r="B957" s="2"/>
      <c r="C957" s="2"/>
      <c r="D957" s="2"/>
      <c r="E957" s="2"/>
      <c r="F957" s="2"/>
      <c r="G957" s="2"/>
      <c r="H957" s="2"/>
      <c r="I957" s="2"/>
      <c r="J957" s="2"/>
    </row>
    <row r="958" spans="1:10" x14ac:dyDescent="0.2">
      <c r="A958" s="2"/>
      <c r="B958" s="2"/>
      <c r="C958" s="2"/>
      <c r="D958" s="2"/>
      <c r="E958" s="2"/>
      <c r="F958" s="2"/>
      <c r="G958" s="2"/>
      <c r="H958" s="2"/>
      <c r="I958" s="2"/>
      <c r="J958" s="2"/>
    </row>
    <row r="959" spans="1:10" x14ac:dyDescent="0.2">
      <c r="A959" s="2"/>
      <c r="B959" s="2"/>
      <c r="C959" s="2"/>
      <c r="D959" s="2"/>
      <c r="E959" s="2"/>
      <c r="F959" s="2"/>
      <c r="G959" s="2"/>
      <c r="H959" s="2"/>
      <c r="I959" s="2"/>
      <c r="J959" s="2"/>
    </row>
    <row r="960" spans="1:10" x14ac:dyDescent="0.2">
      <c r="A960" s="2"/>
      <c r="B960" s="2"/>
      <c r="C960" s="2"/>
      <c r="D960" s="2"/>
      <c r="E960" s="2"/>
      <c r="F960" s="2"/>
      <c r="G960" s="2"/>
      <c r="H960" s="2"/>
      <c r="I960" s="2"/>
      <c r="J960" s="2"/>
    </row>
    <row r="961" spans="1:10" x14ac:dyDescent="0.2">
      <c r="A961" s="2"/>
      <c r="B961" s="2"/>
      <c r="C961" s="2"/>
      <c r="D961" s="2"/>
      <c r="E961" s="2"/>
      <c r="F961" s="2"/>
      <c r="G961" s="2"/>
      <c r="H961" s="2"/>
      <c r="I961" s="2"/>
      <c r="J961" s="2"/>
    </row>
    <row r="962" spans="1:10" x14ac:dyDescent="0.2">
      <c r="A962" s="2"/>
      <c r="B962" s="2"/>
      <c r="C962" s="2"/>
      <c r="D962" s="2"/>
      <c r="E962" s="2"/>
      <c r="F962" s="2"/>
      <c r="G962" s="2"/>
      <c r="H962" s="2"/>
      <c r="I962" s="2"/>
      <c r="J962" s="2"/>
    </row>
    <row r="963" spans="1:10" x14ac:dyDescent="0.2">
      <c r="A963" s="2"/>
      <c r="B963" s="2"/>
      <c r="C963" s="2"/>
      <c r="D963" s="2"/>
      <c r="E963" s="2"/>
      <c r="F963" s="2"/>
      <c r="G963" s="2"/>
      <c r="H963" s="2"/>
      <c r="I963" s="2"/>
      <c r="J963" s="2"/>
    </row>
    <row r="964" spans="1:10" x14ac:dyDescent="0.2">
      <c r="A964" s="2"/>
      <c r="B964" s="2"/>
      <c r="C964" s="2"/>
      <c r="D964" s="2"/>
      <c r="E964" s="2"/>
      <c r="F964" s="2"/>
      <c r="G964" s="2"/>
      <c r="H964" s="2"/>
      <c r="I964" s="2"/>
      <c r="J964" s="2"/>
    </row>
    <row r="965" spans="1:10" x14ac:dyDescent="0.2">
      <c r="A965" s="2"/>
      <c r="B965" s="2"/>
      <c r="C965" s="2"/>
      <c r="D965" s="2"/>
      <c r="E965" s="2"/>
      <c r="F965" s="2"/>
      <c r="G965" s="2"/>
      <c r="H965" s="2"/>
      <c r="I965" s="2"/>
      <c r="J965" s="2"/>
    </row>
    <row r="966" spans="1:10" x14ac:dyDescent="0.2">
      <c r="A966" s="2"/>
      <c r="B966" s="2"/>
      <c r="C966" s="2"/>
      <c r="D966" s="2"/>
      <c r="E966" s="2"/>
      <c r="F966" s="2"/>
      <c r="G966" s="2"/>
      <c r="H966" s="2"/>
      <c r="I966" s="2"/>
      <c r="J966" s="2"/>
    </row>
    <row r="967" spans="1:10" x14ac:dyDescent="0.2">
      <c r="A967" s="2"/>
      <c r="B967" s="2"/>
      <c r="C967" s="2"/>
      <c r="D967" s="2"/>
      <c r="E967" s="2"/>
      <c r="F967" s="2"/>
      <c r="G967" s="2"/>
      <c r="H967" s="2"/>
      <c r="I967" s="2"/>
      <c r="J967" s="2"/>
    </row>
    <row r="968" spans="1:10" x14ac:dyDescent="0.2">
      <c r="A968" s="2"/>
      <c r="B968" s="2"/>
      <c r="C968" s="2"/>
      <c r="D968" s="2"/>
      <c r="E968" s="2"/>
      <c r="F968" s="2"/>
      <c r="G968" s="2"/>
      <c r="H968" s="2"/>
      <c r="I968" s="2"/>
      <c r="J968" s="2"/>
    </row>
    <row r="969" spans="1:10" x14ac:dyDescent="0.2">
      <c r="A969" s="2"/>
      <c r="B969" s="2"/>
      <c r="C969" s="2"/>
      <c r="D969" s="2"/>
      <c r="E969" s="2"/>
      <c r="F969" s="2"/>
      <c r="G969" s="2"/>
      <c r="H969" s="2"/>
      <c r="I969" s="2"/>
      <c r="J969" s="2"/>
    </row>
    <row r="970" spans="1:10" x14ac:dyDescent="0.2">
      <c r="A970" s="2"/>
      <c r="B970" s="2"/>
      <c r="C970" s="2"/>
      <c r="D970" s="2"/>
      <c r="E970" s="2"/>
      <c r="F970" s="2"/>
      <c r="G970" s="2"/>
      <c r="H970" s="2"/>
      <c r="I970" s="2"/>
      <c r="J970" s="2"/>
    </row>
    <row r="971" spans="1:10" x14ac:dyDescent="0.2">
      <c r="A971" s="2"/>
      <c r="B971" s="2"/>
      <c r="C971" s="2"/>
      <c r="D971" s="2"/>
      <c r="E971" s="2"/>
      <c r="F971" s="2"/>
      <c r="G971" s="2"/>
      <c r="H971" s="2"/>
      <c r="I971" s="2"/>
      <c r="J971" s="2"/>
    </row>
    <row r="972" spans="1:10" x14ac:dyDescent="0.2">
      <c r="A972" s="2"/>
      <c r="B972" s="2"/>
      <c r="C972" s="2"/>
      <c r="D972" s="2"/>
      <c r="E972" s="2"/>
      <c r="F972" s="2"/>
      <c r="G972" s="2"/>
      <c r="H972" s="2"/>
      <c r="I972" s="2"/>
      <c r="J972" s="2"/>
    </row>
    <row r="973" spans="1:10" x14ac:dyDescent="0.2">
      <c r="A973" s="2"/>
      <c r="B973" s="2"/>
      <c r="C973" s="2"/>
      <c r="D973" s="2"/>
      <c r="E973" s="2"/>
      <c r="F973" s="2"/>
      <c r="G973" s="2"/>
      <c r="H973" s="2"/>
      <c r="I973" s="2"/>
      <c r="J973" s="2"/>
    </row>
    <row r="974" spans="1:10" x14ac:dyDescent="0.2">
      <c r="A974" s="2"/>
      <c r="B974" s="2"/>
      <c r="C974" s="2"/>
      <c r="D974" s="2"/>
      <c r="E974" s="2"/>
      <c r="F974" s="2"/>
      <c r="G974" s="2"/>
      <c r="H974" s="2"/>
      <c r="I974" s="2"/>
      <c r="J974" s="2"/>
    </row>
    <row r="975" spans="1:10" x14ac:dyDescent="0.2">
      <c r="A975" s="2"/>
      <c r="B975" s="2"/>
      <c r="C975" s="2"/>
      <c r="D975" s="2"/>
      <c r="E975" s="2"/>
      <c r="F975" s="2"/>
      <c r="G975" s="2"/>
      <c r="H975" s="2"/>
      <c r="I975" s="2"/>
      <c r="J975" s="2"/>
    </row>
    <row r="976" spans="1:10" x14ac:dyDescent="0.2">
      <c r="A976" s="2"/>
      <c r="B976" s="2"/>
      <c r="C976" s="2"/>
      <c r="D976" s="2"/>
      <c r="E976" s="2"/>
      <c r="F976" s="2"/>
      <c r="G976" s="2"/>
      <c r="H976" s="2"/>
      <c r="I976" s="2"/>
      <c r="J976" s="2"/>
    </row>
    <row r="977" spans="1:10" x14ac:dyDescent="0.2">
      <c r="A977" s="2"/>
      <c r="B977" s="2"/>
      <c r="C977" s="2"/>
      <c r="D977" s="2"/>
      <c r="E977" s="2"/>
      <c r="F977" s="2"/>
      <c r="G977" s="2"/>
      <c r="H977" s="2"/>
      <c r="I977" s="2"/>
      <c r="J977" s="2"/>
    </row>
    <row r="978" spans="1:10" x14ac:dyDescent="0.2">
      <c r="A978" s="2"/>
      <c r="B978" s="2"/>
      <c r="C978" s="2"/>
      <c r="D978" s="2"/>
      <c r="E978" s="2"/>
      <c r="F978" s="2"/>
      <c r="G978" s="2"/>
      <c r="H978" s="2"/>
      <c r="I978" s="2"/>
      <c r="J978" s="2"/>
    </row>
    <row r="979" spans="1:10" x14ac:dyDescent="0.2">
      <c r="A979" s="2"/>
      <c r="B979" s="2"/>
      <c r="C979" s="2"/>
      <c r="D979" s="2"/>
      <c r="E979" s="2"/>
      <c r="F979" s="2"/>
      <c r="G979" s="2"/>
      <c r="H979" s="2"/>
      <c r="I979" s="2"/>
      <c r="J979" s="2"/>
    </row>
    <row r="980" spans="1:10" x14ac:dyDescent="0.2">
      <c r="A980" s="2"/>
      <c r="B980" s="2"/>
      <c r="C980" s="2"/>
      <c r="D980" s="2"/>
      <c r="E980" s="2"/>
      <c r="F980" s="2"/>
      <c r="G980" s="2"/>
      <c r="H980" s="2"/>
      <c r="I980" s="2"/>
      <c r="J980"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L999"/>
  <sheetViews>
    <sheetView workbookViewId="0">
      <pane ySplit="1" topLeftCell="A2" activePane="bottomLeft" state="frozen"/>
      <selection pane="bottomLeft" activeCell="B3" sqref="B3"/>
    </sheetView>
  </sheetViews>
  <sheetFormatPr defaultColWidth="12.5703125" defaultRowHeight="15.75" customHeight="1" x14ac:dyDescent="0.2"/>
  <sheetData>
    <row r="1" spans="1:12" x14ac:dyDescent="0.2">
      <c r="A1" s="6" t="str">
        <f ca="1">IFERROR(__xludf.DUMMYFUNCTION("IMPORTRANGE(""https://docs.google.com/spreadsheets/d/1H1gYMZ--dN9yp2rUnIS65ZOaAyEUXqI1nECeb4glQ2o/edit#gid=397682017"", ""CNR_all!A1:L"")"),"site")</f>
        <v>site</v>
      </c>
      <c r="B1" s="2" t="str">
        <f ca="1">IFERROR(__xludf.DUMMYFUNCTION("""COMPUTED_VALUE"""),"category")</f>
        <v>category</v>
      </c>
      <c r="C1" s="2" t="str">
        <f ca="1">IFERROR(__xludf.DUMMYFUNCTION("""COMPUTED_VALUE"""),"subcategory")</f>
        <v>subcategory</v>
      </c>
      <c r="D1" s="2" t="str">
        <f ca="1">IFERROR(__xludf.DUMMYFUNCTION("""COMPUTED_VALUE"""),"description of the service")</f>
        <v>description of the service</v>
      </c>
      <c r="E1" s="2" t="str">
        <f ca="1">IFERROR(__xludf.DUMMYFUNCTION("""COMPUTED_VALUE"""),"access type")</f>
        <v>access type</v>
      </c>
      <c r="F1" s="2" t="str">
        <f ca="1">IFERROR(__xludf.DUMMYFUNCTION("""COMPUTED_VALUE"""),"status")</f>
        <v>status</v>
      </c>
      <c r="G1" s="2" t="str">
        <f ca="1">IFERROR(__xludf.DUMMYFUNCTION("""COMPUTED_VALUE"""),"contextual information or expertise associated to the service")</f>
        <v>contextual information or expertise associated to the service</v>
      </c>
      <c r="H1" s="2" t="str">
        <f ca="1">IFERROR(__xludf.DUMMYFUNCTION("""COMPUTED_VALUE"""),"keywords of the service")</f>
        <v>keywords of the service</v>
      </c>
      <c r="I1" s="2" t="str">
        <f ca="1">IFERROR(__xludf.DUMMYFUNCTION("""COMPUTED_VALUE"""),"platform name")</f>
        <v>platform name</v>
      </c>
      <c r="J1" s="2" t="str">
        <f ca="1">IFERROR(__xludf.DUMMYFUNCTION("""COMPUTED_VALUE"""),"Note di Giorgio")</f>
        <v>Note di Giorgio</v>
      </c>
      <c r="K1" s="2"/>
      <c r="L1" s="2"/>
    </row>
    <row r="2" spans="1:12" x14ac:dyDescent="0.2">
      <c r="A2" s="2" t="str">
        <f ca="1">IFERROR(__xludf.DUMMYFUNCTION("""COMPUTED_VALUE"""),"CNR-IAS-CG")</f>
        <v>CNR-IAS-CG</v>
      </c>
      <c r="B2" s="2" t="str">
        <f ca="1">IFERROR(__xludf.DUMMYFUNCTION("""COMPUTED_VALUE"""),"Ecosystem access")</f>
        <v>Ecosystem access</v>
      </c>
      <c r="C2" s="2" t="str">
        <f ca="1">IFERROR(__xludf.DUMMYFUNCTION("""COMPUTED_VALUE"""),"Coastal research vessels")</f>
        <v>Coastal research vessels</v>
      </c>
      <c r="D2" s="2" t="str">
        <f ca="1">IFERROR(__xludf.DUMMYFUNCTION("""COMPUTED_VALUE"""),"Coastal research vessels for biological sampling and oceanographic parameters collection in the Strait of Sicily or at the Mediterranean scale")</f>
        <v>Coastal research vessels for biological sampling and oceanographic parameters collection in the Strait of Sicily or at the Mediterranean scale</v>
      </c>
      <c r="E2" s="2" t="str">
        <f ca="1">IFERROR(__xludf.DUMMYFUNCTION("""COMPUTED_VALUE"""),"on-site")</f>
        <v>on-site</v>
      </c>
      <c r="F2" s="2" t="str">
        <f ca="1">IFERROR(__xludf.DUMMYFUNCTION("""COMPUTED_VALUE"""),"not available")</f>
        <v>not available</v>
      </c>
      <c r="G2" s="2" t="str">
        <f ca="1">IFERROR(__xludf.DUMMYFUNCTION("""COMPUTED_VALUE"""),"Research vessel ""Luigi Sanzo"", 15 m LOA with hydraulic crane can be operated at the Mediterranean scale. Support vessel ""Bio4U"", 7.5 m LOA, can be operated around Sicily &lt;12 nm. In both cases support to diving and sampling is available.")</f>
        <v>Research vessel "Luigi Sanzo", 15 m LOA with hydraulic crane can be operated at the Mediterranean scale. Support vessel "Bio4U", 7.5 m LOA, can be operated around Sicily &lt;12 nm. In both cases support to diving and sampling is available.</v>
      </c>
      <c r="H2" s="2" t="str">
        <f ca="1">IFERROR(__xludf.DUMMYFUNCTION("""COMPUTED_VALUE"""),"Scuba diving; snorkelling; vessel; coastal sampling; boat Plankton; water column; seabed; box corer; rosette")</f>
        <v>Scuba diving; snorkelling; vessel; coastal sampling; boat Plankton; water column; seabed; box corer; rosette</v>
      </c>
      <c r="I2" s="2"/>
      <c r="J2" s="2"/>
      <c r="K2" s="2"/>
      <c r="L2" s="2"/>
    </row>
    <row r="3" spans="1:12" x14ac:dyDescent="0.2">
      <c r="A3" s="2" t="str">
        <f ca="1">IFERROR(__xludf.DUMMYFUNCTION("""COMPUTED_VALUE"""),"CNR-IAS-CG")</f>
        <v>CNR-IAS-CG</v>
      </c>
      <c r="B3" s="2" t="str">
        <f ca="1">IFERROR(__xludf.DUMMYFUNCTION("""COMPUTED_VALUE"""),"E-services")</f>
        <v>E-services</v>
      </c>
      <c r="C3" s="2" t="str">
        <f ca="1">IFERROR(__xludf.DUMMYFUNCTION("""COMPUTED_VALUE"""),"Data sets")</f>
        <v>Data sets</v>
      </c>
      <c r="D3" s="2" t="str">
        <f ca="1">IFERROR(__xludf.DUMMYFUNCTION("""COMPUTED_VALUE"""),"Provision of oceanographic and pelagic data sets (1998 to date)")</f>
        <v>Provision of oceanographic and pelagic data sets (1998 to date)</v>
      </c>
      <c r="E3" s="2" t="str">
        <f ca="1">IFERROR(__xludf.DUMMYFUNCTION("""COMPUTED_VALUE"""),"remote")</f>
        <v>remote</v>
      </c>
      <c r="F3" s="2" t="str">
        <f ca="1">IFERROR(__xludf.DUMMYFUNCTION("""COMPUTED_VALUE"""),"not available")</f>
        <v>not available</v>
      </c>
      <c r="G3" s="2" t="str">
        <f ca="1">IFERROR(__xludf.DUMMYFUNCTION("""COMPUTED_VALUE"""),"Temporal series of oceanographic data and small-sized pelagic fish from the Strait of Sicily are available")</f>
        <v>Temporal series of oceanographic data and small-sized pelagic fish from the Strait of Sicily are available</v>
      </c>
      <c r="H3" s="2" t="str">
        <f ca="1">IFERROR(__xludf.DUMMYFUNCTION("""COMPUTED_VALUE"""),"Oceanographic parameters; water column; data; LTER; time series")</f>
        <v>Oceanographic parameters; water column; data; LTER; time series</v>
      </c>
      <c r="I3" s="2"/>
      <c r="J3" s="2"/>
      <c r="K3" s="2"/>
      <c r="L3" s="2"/>
    </row>
    <row r="4" spans="1:12" x14ac:dyDescent="0.2">
      <c r="A4" s="2" t="str">
        <f ca="1">IFERROR(__xludf.DUMMYFUNCTION("""COMPUTED_VALUE"""),"CNR-IAS-CG")</f>
        <v>CNR-IAS-CG</v>
      </c>
      <c r="B4" s="2" t="str">
        <f ca="1">IFERROR(__xludf.DUMMYFUNCTION("""COMPUTED_VALUE"""),"Technology platforms")</f>
        <v>Technology platforms</v>
      </c>
      <c r="C4" s="2" t="str">
        <f ca="1">IFERROR(__xludf.DUMMYFUNCTION("""COMPUTED_VALUE"""),"Remote sensing and telemetry")</f>
        <v>Remote sensing and telemetry</v>
      </c>
      <c r="D4" s="2" t="str">
        <f ca="1">IFERROR(__xludf.DUMMYFUNCTION("""COMPUTED_VALUE"""),"Recording and analysis of underwater sounds and acoustic surveys for biomass assessment of small-sized pelagic fish")</f>
        <v>Recording and analysis of underwater sounds and acoustic surveys for biomass assessment of small-sized pelagic fish</v>
      </c>
      <c r="E4" s="2" t="str">
        <f ca="1">IFERROR(__xludf.DUMMYFUNCTION("""COMPUTED_VALUE"""),"on-site")</f>
        <v>on-site</v>
      </c>
      <c r="F4" s="2" t="str">
        <f ca="1">IFERROR(__xludf.DUMMYFUNCTION("""COMPUTED_VALUE"""),"not available")</f>
        <v>not available</v>
      </c>
      <c r="G4" s="2" t="str">
        <f ca="1">IFERROR(__xludf.DUMMYFUNCTION("""COMPUTED_VALUE"""),"Recording of underwater sounds (from organisms and environment) in tanks and at sea. Ethernet- and RS232- devices for parameters collection and device testing is available. Experimental acoustic surveys for biomass assessment of small-sized pelagic fish f"&amp;"rom hired vessel can be performed. Custom-built, non-commercial software can be developed for the analysis of acoustic data seta.")</f>
        <v>Recording of underwater sounds (from organisms and environment) in tanks and at sea. Ethernet- and RS232- devices for parameters collection and device testing is available. Experimental acoustic surveys for biomass assessment of small-sized pelagic fish from hired vessel can be performed. Custom-built, non-commercial software can be developed for the analysis of acoustic data seta.</v>
      </c>
      <c r="H4" s="2" t="str">
        <f ca="1">IFERROR(__xludf.DUMMYFUNCTION("""COMPUTED_VALUE"""),"Instrumentation test; wired station; Underwater acoustics; sound recording; Acoustic survey, data, data analyses; sound; custome-build software")</f>
        <v>Instrumentation test; wired station; Underwater acoustics; sound recording; Acoustic survey, data, data analyses; sound; custome-build software</v>
      </c>
      <c r="I4" s="2"/>
      <c r="J4" s="2"/>
      <c r="K4" s="2"/>
      <c r="L4" s="2"/>
    </row>
    <row r="5" spans="1:12" x14ac:dyDescent="0.2">
      <c r="A5" s="2" t="str">
        <f ca="1">IFERROR(__xludf.DUMMYFUNCTION("""COMPUTED_VALUE"""),"CNR-IAS-O")</f>
        <v>CNR-IAS-O</v>
      </c>
      <c r="B5" s="2" t="str">
        <f ca="1">IFERROR(__xludf.DUMMYFUNCTION("""COMPUTED_VALUE"""),"Biological resources")</f>
        <v>Biological resources</v>
      </c>
      <c r="C5" s="2" t="str">
        <f ca="1">IFERROR(__xludf.DUMMYFUNCTION("""COMPUTED_VALUE"""),"Organisms collected in the wild")</f>
        <v>Organisms collected in the wild</v>
      </c>
      <c r="D5" s="2" t="str">
        <f ca="1">IFERROR(__xludf.DUMMYFUNCTION("""COMPUTED_VALUE"""),"Provision of marine/brackish water model organisms")</f>
        <v>Provision of marine/brackish water model organisms</v>
      </c>
      <c r="E5" s="2" t="str">
        <f ca="1">IFERROR(__xludf.DUMMYFUNCTION("""COMPUTED_VALUE"""),"on-site")</f>
        <v>on-site</v>
      </c>
      <c r="F5" s="2" t="str">
        <f ca="1">IFERROR(__xludf.DUMMYFUNCTION("""COMPUTED_VALUE"""),"not available")</f>
        <v>not available</v>
      </c>
      <c r="G5" s="2" t="str">
        <f ca="1">IFERROR(__xludf.DUMMYFUNCTION("""COMPUTED_VALUE"""),"Collection by fishing gear of fishes (Dicentrarchus labrax, Mugil cephalus, Liza aurata, Mullus barbatus) and invertebrates (Paracentrotus lividus) from nearby locations")</f>
        <v>Collection by fishing gear of fishes (Dicentrarchus labrax, Mugil cephalus, Liza aurata, Mullus barbatus) and invertebrates (Paracentrotus lividus) from nearby locations</v>
      </c>
      <c r="H5" s="2" t="str">
        <f ca="1">IFERROR(__xludf.DUMMYFUNCTION("""COMPUTED_VALUE"""),"Model species; fishes; sea urchins; brackish; colection")</f>
        <v>Model species; fishes; sea urchins; brackish; colection</v>
      </c>
      <c r="I5" s="2"/>
      <c r="J5" s="2"/>
      <c r="K5" s="2"/>
      <c r="L5" s="2"/>
    </row>
    <row r="6" spans="1:12" x14ac:dyDescent="0.2">
      <c r="A6" s="2" t="str">
        <f ca="1">IFERROR(__xludf.DUMMYFUNCTION("""COMPUTED_VALUE"""),"CNR-IAS-O")</f>
        <v>CNR-IAS-O</v>
      </c>
      <c r="B6" s="2" t="str">
        <f ca="1">IFERROR(__xludf.DUMMYFUNCTION("""COMPUTED_VALUE"""),"Experimental facilities")</f>
        <v>Experimental facilities</v>
      </c>
      <c r="C6" s="2" t="str">
        <f ca="1">IFERROR(__xludf.DUMMYFUNCTION("""COMPUTED_VALUE"""),"Wet laboratories")</f>
        <v>Wet laboratories</v>
      </c>
      <c r="D6" s="2" t="str">
        <f ca="1">IFERROR(__xludf.DUMMYFUNCTION("""COMPUTED_VALUE"""),"Laboratories dedicated to ecophysiological and behavioural studies with marine fishes and invertebrates. Anoxic and temperature controlled conditions can be provided.")</f>
        <v>Laboratories dedicated to ecophysiological and behavioural studies with marine fishes and invertebrates. Anoxic and temperature controlled conditions can be provided.</v>
      </c>
      <c r="E6" s="2" t="str">
        <f ca="1">IFERROR(__xludf.DUMMYFUNCTION("""COMPUTED_VALUE"""),"on-site")</f>
        <v>on-site</v>
      </c>
      <c r="F6" s="2" t="str">
        <f ca="1">IFERROR(__xludf.DUMMYFUNCTION("""COMPUTED_VALUE"""),"not available")</f>
        <v>not available</v>
      </c>
      <c r="G6" s="2" t="str">
        <f ca="1">IFERROR(__xludf.DUMMYFUNCTION("""COMPUTED_VALUE"""),"Strong expertise in the design of ecophysiological and behavioural experimentation with marine fishes and invertebrates is provided for the use of local experimental facilities. Contextually, the video footage recorded with high-speed cameras in the lab c"&amp;"an be anaysed (i.e., video tracking) with specific commercial software. Contextual access to microscope laboratory with stereomicroscope for macrofauna and zooplankton observation.")</f>
        <v>Strong expertise in the design of ecophysiological and behavioural experimentation with marine fishes and invertebrates is provided for the use of local experimental facilities. Contextually, the video footage recorded with high-speed cameras in the lab can be anaysed (i.e., video tracking) with specific commercial software. Contextual access to microscope laboratory with stereomicroscope for macrofauna and zooplankton observation.</v>
      </c>
      <c r="H6" s="2" t="str">
        <f ca="1">IFERROR(__xludf.DUMMYFUNCTION("""COMPUTED_VALUE"""),"Swimming tunnels, choice box, shuffle box, T-maze; ecophysiology; behaviour; fish; invertebrates, wet lab, running seawater; controlled temperature")</f>
        <v>Swimming tunnels, choice box, shuffle box, T-maze; ecophysiology; behaviour; fish; invertebrates, wet lab, running seawater; controlled temperature</v>
      </c>
      <c r="I6" s="2"/>
      <c r="J6" s="2"/>
      <c r="K6" s="2"/>
      <c r="L6" s="2"/>
    </row>
    <row r="7" spans="1:12" x14ac:dyDescent="0.2">
      <c r="A7" s="2" t="str">
        <f ca="1">IFERROR(__xludf.DUMMYFUNCTION("""COMPUTED_VALUE"""),"CNR-ISP-VE")</f>
        <v>CNR-ISP-VE</v>
      </c>
      <c r="B7" s="2" t="str">
        <f ca="1">IFERROR(__xludf.DUMMYFUNCTION("""COMPUTED_VALUE"""),"Experimental facilities")</f>
        <v>Experimental facilities</v>
      </c>
      <c r="C7" s="2" t="str">
        <f ca="1">IFERROR(__xludf.DUMMYFUNCTION("""COMPUTED_VALUE"""),"Wet laboratories")</f>
        <v>Wet laboratories</v>
      </c>
      <c r="D7" s="2" t="str">
        <f ca="1">IFERROR(__xludf.DUMMYFUNCTION("""COMPUTED_VALUE"""),"Access to Ultra-Clean Labs")</f>
        <v>Access to Ultra-Clean Labs</v>
      </c>
      <c r="E7" s="2" t="str">
        <f ca="1">IFERROR(__xludf.DUMMYFUNCTION("""COMPUTED_VALUE"""),"on-site")</f>
        <v>on-site</v>
      </c>
      <c r="F7" s="2" t="str">
        <f ca="1">IFERROR(__xludf.DUMMYFUNCTION("""COMPUTED_VALUE"""),"available")</f>
        <v>available</v>
      </c>
      <c r="G7" s="2" t="str">
        <f ca="1">IFERROR(__xludf.DUMMYFUNCTION("""COMPUTED_VALUE"""),"Access to ultra clean labs (contamination controlled environments) for pre-analytical sample operations (e.g samples from Polar regions)")</f>
        <v>Access to ultra clean labs (contamination controlled environments) for pre-analytical sample operations (e.g samples from Polar regions)</v>
      </c>
      <c r="H7" s="2"/>
      <c r="I7" s="2"/>
      <c r="J7" s="2"/>
      <c r="K7" s="2"/>
      <c r="L7" s="2"/>
    </row>
    <row r="8" spans="1:12" x14ac:dyDescent="0.2">
      <c r="A8" s="2" t="str">
        <f ca="1">IFERROR(__xludf.DUMMYFUNCTION("""COMPUTED_VALUE"""),"CNR-ISP-VE")</f>
        <v>CNR-ISP-VE</v>
      </c>
      <c r="B8" s="2" t="str">
        <f ca="1">IFERROR(__xludf.DUMMYFUNCTION("""COMPUTED_VALUE"""),"Technology platforms")</f>
        <v>Technology platforms</v>
      </c>
      <c r="C8" s="2" t="str">
        <f ca="1">IFERROR(__xludf.DUMMYFUNCTION("""COMPUTED_VALUE"""),"Structural and chemical analysis")</f>
        <v>Structural and chemical analysis</v>
      </c>
      <c r="D8" s="2" t="str">
        <f ca="1">IFERROR(__xludf.DUMMYFUNCTION("""COMPUTED_VALUE"""),"Access to lab for environmental analytical chemistry and micro/nano plastics characterisation")</f>
        <v>Access to lab for environmental analytical chemistry and micro/nano plastics characterisation</v>
      </c>
      <c r="E8" s="2" t="str">
        <f ca="1">IFERROR(__xludf.DUMMYFUNCTION("""COMPUTED_VALUE"""),"on-site")</f>
        <v>on-site</v>
      </c>
      <c r="F8" s="2" t="str">
        <f ca="1">IFERROR(__xludf.DUMMYFUNCTION("""COMPUTED_VALUE"""),"available")</f>
        <v>available</v>
      </c>
      <c r="G8" s="2" t="str">
        <f ca="1">IFERROR(__xludf.DUMMYFUNCTION("""COMPUTED_VALUE"""),"Access to a full equipped lab for inorganic, organic chemistry analyses and microplastics research lab, including mass spectrometry (high and low resolution), optical emission spectroscopy, Isotope Ratio analyses, atomic fluorescence. organic chemistry an"&amp;"alyses: HPLC-Orbitrap (metabolomic analysis, untargeted contaminats analysis), HPLC-MS/MS (PFAS, Bisphenol A, pharmaceiticals, neonicotinoid compounds),GC-MS/MS ( IPA, PCB, personal care products, flame retardants), etc.. To characterize microplastics it'"&amp;"s available a research lab equipped with Micro-FTIR Infrared Microscope and Py-GC/MS for polimeric characterisation.")</f>
        <v>Access to a full equipped lab for inorganic, organic chemistry analyses and microplastics research lab, including mass spectrometry (high and low resolution), optical emission spectroscopy, Isotope Ratio analyses, atomic fluorescence. organic chemistry analyses: HPLC-Orbitrap (metabolomic analysis, untargeted contaminats analysis), HPLC-MS/MS (PFAS, Bisphenol A, pharmaceiticals, neonicotinoid compounds),GC-MS/MS ( IPA, PCB, personal care products, flame retardants), etc.. To characterize microplastics it's available a research lab equipped with Micro-FTIR Infrared Microscope and Py-GC/MS for polimeric characterisation.</v>
      </c>
      <c r="H8" s="2"/>
      <c r="I8" s="2"/>
      <c r="J8" s="2"/>
      <c r="K8" s="2"/>
      <c r="L8" s="2"/>
    </row>
    <row r="9" spans="1:12" x14ac:dyDescent="0.2">
      <c r="A9" s="2" t="str">
        <f ca="1">IFERROR(__xludf.DUMMYFUNCTION("""COMPUTED_VALUE"""),"CNR-ISP-BO")</f>
        <v>CNR-ISP-BO</v>
      </c>
      <c r="B9" s="2" t="str">
        <f ca="1">IFERROR(__xludf.DUMMYFUNCTION("""COMPUTED_VALUE"""),"Technology platforms")</f>
        <v>Technology platforms</v>
      </c>
      <c r="C9" s="2" t="str">
        <f ca="1">IFERROR(__xludf.DUMMYFUNCTION("""COMPUTED_VALUE"""),"Remote sensing and telemetry")</f>
        <v>Remote sensing and telemetry</v>
      </c>
      <c r="D9" s="2" t="str">
        <f ca="1">IFERROR(__xludf.DUMMYFUNCTION("""COMPUTED_VALUE"""),"Access to Oceanographic parameters of marine observatory in Kongsfjorden, Svalbard Island")</f>
        <v>Access to Oceanographic parameters of marine observatory in Kongsfjorden, Svalbard Island</v>
      </c>
      <c r="E9" s="2" t="str">
        <f ca="1">IFERROR(__xludf.DUMMYFUNCTION("""COMPUTED_VALUE"""),"on-site and remote")</f>
        <v>on-site and remote</v>
      </c>
      <c r="F9" s="2" t="str">
        <f ca="1">IFERROR(__xludf.DUMMYFUNCTION("""COMPUTED_VALUE"""),"available")</f>
        <v>available</v>
      </c>
      <c r="G9" s="2" t="str">
        <f ca="1">IFERROR(__xludf.DUMMYFUNCTION("""COMPUTED_VALUE"""),"The infrastructure is available for specific experiments, sensor testing and in situ validation, or to collect additional data to those already acquired by the operator. The access includes the use of the facilities of the “Arctic Station Dirigibile Itali"&amp;"a”, including its laboratories. The station is equipped with everything needed for pre-conditioning the collected samples. Boats are available for rent locally.")</f>
        <v>The infrastructure is available for specific experiments, sensor testing and in situ validation, or to collect additional data to those already acquired by the operator. The access includes the use of the facilities of the “Arctic Station Dirigibile Italia”, including its laboratories. The station is equipped with everything needed for pre-conditioning the collected samples. Boats are available for rent locally.</v>
      </c>
      <c r="H9" s="2"/>
      <c r="I9" s="2"/>
      <c r="J9" s="2"/>
      <c r="K9" s="2"/>
      <c r="L9" s="2"/>
    </row>
    <row r="10" spans="1:12" x14ac:dyDescent="0.2">
      <c r="A10" s="2" t="str">
        <f ca="1">IFERROR(__xludf.DUMMYFUNCTION("""COMPUTED_VALUE"""),"CNR-ISP-BO")</f>
        <v>CNR-ISP-BO</v>
      </c>
      <c r="B10" s="2" t="str">
        <f ca="1">IFERROR(__xludf.DUMMYFUNCTION("""COMPUTED_VALUE"""),"E-services")</f>
        <v>E-services</v>
      </c>
      <c r="C10" s="2" t="str">
        <f ca="1">IFERROR(__xludf.DUMMYFUNCTION("""COMPUTED_VALUE"""),"Data sets")</f>
        <v>Data sets</v>
      </c>
      <c r="D10" s="2" t="str">
        <f ca="1">IFERROR(__xludf.DUMMYFUNCTION("""COMPUTED_VALUE"""),"MDI Oceanographic Mooring and Climate change Tower Datasets from the Kongsfjorden area (Svalbard)")</f>
        <v>MDI Oceanographic Mooring and Climate change Tower Datasets from the Kongsfjorden area (Svalbard)</v>
      </c>
      <c r="E10" s="2" t="str">
        <f ca="1">IFERROR(__xludf.DUMMYFUNCTION("""COMPUTED_VALUE"""),"remote")</f>
        <v>remote</v>
      </c>
      <c r="F10" s="2" t="str">
        <f ca="1">IFERROR(__xludf.DUMMYFUNCTION("""COMPUTED_VALUE"""),"available")</f>
        <v>available</v>
      </c>
      <c r="G10" s="2" t="str">
        <f ca="1">IFERROR(__xludf.DUMMYFUNCTION("""COMPUTED_VALUE"""),"Marine data/statistics from the autonomous marine observatory ""Mooring Dirigibile Italia"" in the Kongsfjorden and meteorology/radiation data/statistics from the ""Climate Change Tower"" in Ny-Alesund (Svalbard)")</f>
        <v>Marine data/statistics from the autonomous marine observatory "Mooring Dirigibile Italia" in the Kongsfjorden and meteorology/radiation data/statistics from the "Climate Change Tower" in Ny-Alesund (Svalbard)</v>
      </c>
      <c r="H10" s="2"/>
      <c r="I10" s="2"/>
      <c r="J10" s="2"/>
      <c r="K10" s="2"/>
      <c r="L10" s="2"/>
    </row>
    <row r="11" spans="1:12" x14ac:dyDescent="0.2">
      <c r="A11" s="2" t="str">
        <f ca="1">IFERROR(__xludf.DUMMYFUNCTION("""COMPUTED_VALUE"""),"CNR-ISP-BO")</f>
        <v>CNR-ISP-BO</v>
      </c>
      <c r="B11" s="2" t="str">
        <f ca="1">IFERROR(__xludf.DUMMYFUNCTION("""COMPUTED_VALUE"""),"Technology platforms")</f>
        <v>Technology platforms</v>
      </c>
      <c r="C11" s="2" t="str">
        <f ca="1">IFERROR(__xludf.DUMMYFUNCTION("""COMPUTED_VALUE"""),"Structural and chemical analysis")</f>
        <v>Structural and chemical analysis</v>
      </c>
      <c r="D11" s="2" t="str">
        <f ca="1">IFERROR(__xludf.DUMMYFUNCTION("""COMPUTED_VALUE"""),"Analyses on organic tissues and sediments: CHN Elemental composition, delta13C, delta 15N, organic matter tracers")</f>
        <v>Analyses on organic tissues and sediments: CHN Elemental composition, delta13C, delta 15N, organic matter tracers</v>
      </c>
      <c r="E11" s="2" t="str">
        <f ca="1">IFERROR(__xludf.DUMMYFUNCTION("""COMPUTED_VALUE"""),"on-site")</f>
        <v>on-site</v>
      </c>
      <c r="F11" s="2" t="str">
        <f ca="1">IFERROR(__xludf.DUMMYFUNCTION("""COMPUTED_VALUE"""),"available")</f>
        <v>available</v>
      </c>
      <c r="G11" s="2" t="str">
        <f ca="1">IFERROR(__xludf.DUMMYFUNCTION("""COMPUTED_VALUE"""),"Access to organic chemistry lab for analyses on organic tissues and sediments: CHN Elemental composition, delta13C, delta 15N, organic matter tracers")</f>
        <v>Access to organic chemistry lab for analyses on organic tissues and sediments: CHN Elemental composition, delta13C, delta 15N, organic matter tracers</v>
      </c>
      <c r="H11" s="2"/>
      <c r="I11" s="2"/>
      <c r="J11" s="2"/>
      <c r="K11" s="2"/>
      <c r="L11" s="2"/>
    </row>
    <row r="12" spans="1:12" x14ac:dyDescent="0.2">
      <c r="A12" s="2" t="str">
        <f ca="1">IFERROR(__xludf.DUMMYFUNCTION("""COMPUTED_VALUE"""),"CNR-ISP-RM")</f>
        <v>CNR-ISP-RM</v>
      </c>
      <c r="B12" s="2" t="str">
        <f ca="1">IFERROR(__xludf.DUMMYFUNCTION("""COMPUTED_VALUE"""),"Experimental facilities")</f>
        <v>Experimental facilities</v>
      </c>
      <c r="C12" s="2" t="str">
        <f ca="1">IFERROR(__xludf.DUMMYFUNCTION("""COMPUTED_VALUE"""),"Wet laboratories")</f>
        <v>Wet laboratories</v>
      </c>
      <c r="D12" s="2" t="str">
        <f ca="1">IFERROR(__xludf.DUMMYFUNCTION("""COMPUTED_VALUE"""),"Microcosms - Lab-scale experiments using synthetic and real environmental matrices to evaluate the persistence of pollutants (half-life time - DT50), their bioaccumulation, and the effects on microbial communities or specific target organisms (ecotoxicolo"&amp;"gical test)")</f>
        <v>Microcosms - Lab-scale experiments using synthetic and real environmental matrices to evaluate the persistence of pollutants (half-life time - DT50), their bioaccumulation, and the effects on microbial communities or specific target organisms (ecotoxicological test)</v>
      </c>
      <c r="E12" s="2" t="str">
        <f ca="1">IFERROR(__xludf.DUMMYFUNCTION("""COMPUTED_VALUE"""),"on-site")</f>
        <v>on-site</v>
      </c>
      <c r="F12" s="2" t="str">
        <f ca="1">IFERROR(__xludf.DUMMYFUNCTION("""COMPUTED_VALUE"""),"available")</f>
        <v>available</v>
      </c>
      <c r="G12" s="2" t="str">
        <f ca="1">IFERROR(__xludf.DUMMYFUNCTION("""COMPUTED_VALUE"""),"Evaluation of the persistence of organic contaminants (degradation rates and DT50) related to chemical, physical and biological processes, bioaccumulation (livings and vegetation), and evaluation of the effects of contaminants on target organisms (i.e. Ei"&amp;"senia Faetida), structure, and functioning of natural microbial community")</f>
        <v>Evaluation of the persistence of organic contaminants (degradation rates and DT50) related to chemical, physical and biological processes, bioaccumulation (livings and vegetation), and evaluation of the effects of contaminants on target organisms (i.e. Eisenia Faetida), structure, and functioning of natural microbial community</v>
      </c>
      <c r="H12" s="2"/>
      <c r="I12" s="2"/>
      <c r="J12" s="2"/>
      <c r="K12" s="2"/>
      <c r="L12" s="2"/>
    </row>
    <row r="13" spans="1:12" x14ac:dyDescent="0.2">
      <c r="A13" s="2" t="str">
        <f ca="1">IFERROR(__xludf.DUMMYFUNCTION("""COMPUTED_VALUE"""),"CNR-ISP-RM")</f>
        <v>CNR-ISP-RM</v>
      </c>
      <c r="B13" s="2" t="str">
        <f ca="1">IFERROR(__xludf.DUMMYFUNCTION("""COMPUTED_VALUE"""),"Technology platforms")</f>
        <v>Technology platforms</v>
      </c>
      <c r="C13" s="2" t="str">
        <f ca="1">IFERROR(__xludf.DUMMYFUNCTION("""COMPUTED_VALUE"""),"Structural and chemical analysis")</f>
        <v>Structural and chemical analysis</v>
      </c>
      <c r="D13" s="2" t="str">
        <f ca="1">IFERROR(__xludf.DUMMYFUNCTION("""COMPUTED_VALUE"""),"Access to structural and chemical analysis labs of ISP-ROMA, including: CLPP microbiology lab for evaluation of the structure and metabolic properties of natural microbial communities in relation to contamination data; MICROCHEM facility for the determina"&amp;"tion of legacy and emerging organic contaminants in environmental matrices and the assessment of environmental risk associated with contamination data measured in situ at polar areas and mid- latitudes")</f>
        <v>Access to structural and chemical analysis labs of ISP-ROMA, including: CLPP microbiology lab for evaluation of the structure and metabolic properties of natural microbial communities in relation to contamination data; MICROCHEM facility for the determination of legacy and emerging organic contaminants in environmental matrices and the assessment of environmental risk associated with contamination data measured in situ at polar areas and mid- latitudes</v>
      </c>
      <c r="E13" s="2" t="str">
        <f ca="1">IFERROR(__xludf.DUMMYFUNCTION("""COMPUTED_VALUE"""),"on-site")</f>
        <v>on-site</v>
      </c>
      <c r="F13" s="2" t="str">
        <f ca="1">IFERROR(__xludf.DUMMYFUNCTION("""COMPUTED_VALUE"""),"available")</f>
        <v>available</v>
      </c>
      <c r="G13" s="2" t="str">
        <f ca="1">IFERROR(__xludf.DUMMYFUNCTION("""COMPUTED_VALUE"""),"Assessment of microbial profiling through a taxonomic fingerprint of the main microbial groups (Grampositive, Gram-negative bacteria and Fungi) by biochemical methods (PhosphoLipid Fatty Acid analysis-PLFA) and assessment of the spatial and temporal chang"&amp;"es in the metabolism of microbial communities by the spectrophotometric method community-level physiological profiling (CLPP)")</f>
        <v>Assessment of microbial profiling through a taxonomic fingerprint of the main microbial groups (Grampositive, Gram-negative bacteria and Fungi) by biochemical methods (PhosphoLipid Fatty Acid analysis-PLFA) and assessment of the spatial and temporal changes in the metabolism of microbial communities by the spectrophotometric method community-level physiological profiling (CLPP)</v>
      </c>
      <c r="H13" s="2"/>
      <c r="I13" s="2"/>
      <c r="J13" s="2"/>
      <c r="K13" s="2"/>
      <c r="L13" s="2"/>
    </row>
    <row r="14" spans="1:12" x14ac:dyDescent="0.2">
      <c r="A14" s="2" t="str">
        <f ca="1">IFERROR(__xludf.DUMMYFUNCTION("""COMPUTED_VALUE"""),"CNR-ISP-RM")</f>
        <v>CNR-ISP-RM</v>
      </c>
      <c r="B14" s="2" t="str">
        <f ca="1">IFERROR(__xludf.DUMMYFUNCTION("""COMPUTED_VALUE"""),"Biological resources")</f>
        <v>Biological resources</v>
      </c>
      <c r="C14" s="2" t="str">
        <f ca="1">IFERROR(__xludf.DUMMYFUNCTION("""COMPUTED_VALUE"""),"Taxonomic services")</f>
        <v>Taxonomic services</v>
      </c>
      <c r="D14" s="2" t="str">
        <f ca="1">IFERROR(__xludf.DUMMYFUNCTION("""COMPUTED_VALUE"""),"Taxonomic fingerprint of main microbial groups (Grampositive, Gram-negative bacteria and Fungi)")</f>
        <v>Taxonomic fingerprint of main microbial groups (Grampositive, Gram-negative bacteria and Fungi)</v>
      </c>
      <c r="E14" s="2" t="str">
        <f ca="1">IFERROR(__xludf.DUMMYFUNCTION("""COMPUTED_VALUE"""),"on-site")</f>
        <v>on-site</v>
      </c>
      <c r="F14" s="2" t="str">
        <f ca="1">IFERROR(__xludf.DUMMYFUNCTION("""COMPUTED_VALUE"""),"available")</f>
        <v>available</v>
      </c>
      <c r="G14" s="2" t="str">
        <f ca="1">IFERROR(__xludf.DUMMYFUNCTION("""COMPUTED_VALUE"""),"Access to full equipped lab for legacy and emerging organic contaminants: GC-MS (PAHs, PCBs, old and new generation pesticides , PBDEs, etc. ) and HPLC- Orbitrap Exploris 120 (pharmaceuticals, personal care products, pesticides, plasticizers, Bisphenol A,"&amp;" etc. ) on biotic (organisms and vegetation) and abiotic (water, sediment, soil, sewage) matrices collected in polar areas and at mid-latitudes. Estimate of risk associated with the contamination detected in different matrices of aquatic and terrestrial c"&amp;"ompartments")</f>
        <v>Access to full equipped lab for legacy and emerging organic contaminants: GC-MS (PAHs, PCBs, old and new generation pesticides , PBDEs, etc. ) and HPLC- Orbitrap Exploris 120 (pharmaceuticals, personal care products, pesticides, plasticizers, Bisphenol A, etc. ) on biotic (organisms and vegetation) and abiotic (water, sediment, soil, sewage) matrices collected in polar areas and at mid-latitudes. Estimate of risk associated with the contamination detected in different matrices of aquatic and terrestrial compartments</v>
      </c>
      <c r="H14" s="2"/>
      <c r="I14" s="2"/>
      <c r="J14" s="2"/>
      <c r="K14" s="2"/>
      <c r="L14" s="2"/>
    </row>
    <row r="15" spans="1:12" x14ac:dyDescent="0.2">
      <c r="A15" s="2" t="str">
        <f ca="1">IFERROR(__xludf.DUMMYFUNCTION("""COMPUTED_VALUE"""),"CNR-ISP-ME")</f>
        <v>CNR-ISP-ME</v>
      </c>
      <c r="B15" s="2" t="str">
        <f ca="1">IFERROR(__xludf.DUMMYFUNCTION("""COMPUTED_VALUE"""),"Biological resources")</f>
        <v>Biological resources</v>
      </c>
      <c r="C15" s="2" t="str">
        <f ca="1">IFERROR(__xludf.DUMMYFUNCTION("""COMPUTED_VALUE"""),"Culture collections")</f>
        <v>Culture collections</v>
      </c>
      <c r="D15" s="2" t="str">
        <f ca="1">IFERROR(__xludf.DUMMYFUNCTION("""COMPUTED_VALUE"""),"Access to the Culture Collection of Microorganisms from Cryoenvironments – MICR(Y)O, including microbial strains, mainly bacteria, isolated from different environmental sources in the Arctic and Antarctica.")</f>
        <v>Access to the Culture Collection of Microorganisms from Cryoenvironments – MICR(Y)O, including microbial strains, mainly bacteria, isolated from different environmental sources in the Arctic and Antarctica.</v>
      </c>
      <c r="E15" s="2" t="str">
        <f ca="1">IFERROR(__xludf.DUMMYFUNCTION("""COMPUTED_VALUE"""),"on-site and remote")</f>
        <v>on-site and remote</v>
      </c>
      <c r="F15" s="2" t="str">
        <f ca="1">IFERROR(__xludf.DUMMYFUNCTION("""COMPUTED_VALUE"""),"available")</f>
        <v>available</v>
      </c>
      <c r="G15" s="2" t="str">
        <f ca="1">IFERROR(__xludf.DUMMYFUNCTION("""COMPUTED_VALUE"""),"Maintenance of microbes from polar and cryoenvironments ")</f>
        <v xml:space="preserve">Maintenance of microbes from polar and cryoenvironments </v>
      </c>
      <c r="H15" s="2"/>
      <c r="I15" s="2" t="str">
        <f ca="1">IFERROR(__xludf.DUMMYFUNCTION("""COMPUTED_VALUE"""),"MICR(Y)O")</f>
        <v>MICR(Y)O</v>
      </c>
      <c r="J15" s="2"/>
      <c r="K15" s="2"/>
      <c r="L15" s="2"/>
    </row>
    <row r="16" spans="1:12" x14ac:dyDescent="0.2">
      <c r="A16" s="2" t="str">
        <f ca="1">IFERROR(__xludf.DUMMYFUNCTION("""COMPUTED_VALUE"""),"CNR-ISP-ME")</f>
        <v>CNR-ISP-ME</v>
      </c>
      <c r="B16" s="2" t="str">
        <f ca="1">IFERROR(__xludf.DUMMYFUNCTION("""COMPUTED_VALUE"""),"Biological resources")</f>
        <v>Biological resources</v>
      </c>
      <c r="C16" s="2" t="str">
        <f ca="1">IFERROR(__xludf.DUMMYFUNCTION("""COMPUTED_VALUE"""),"Taxonomic services")</f>
        <v>Taxonomic services</v>
      </c>
      <c r="D16" s="2" t="str">
        <f ca="1">IFERROR(__xludf.DUMMYFUNCTION("""COMPUTED_VALUE"""),"Access to taxonomic services of bacteria from extreme environments, microbial communities and bacterial isolates provided from users.")</f>
        <v>Access to taxonomic services of bacteria from extreme environments, microbial communities and bacterial isolates provided from users.</v>
      </c>
      <c r="E16" s="2" t="str">
        <f ca="1">IFERROR(__xludf.DUMMYFUNCTION("""COMPUTED_VALUE"""),"on-site and remote")</f>
        <v>on-site and remote</v>
      </c>
      <c r="F16" s="2" t="str">
        <f ca="1">IFERROR(__xludf.DUMMYFUNCTION("""COMPUTED_VALUE"""),"available")</f>
        <v>available</v>
      </c>
      <c r="G16" s="2" t="str">
        <f ca="1">IFERROR(__xludf.DUMMYFUNCTION("""COMPUTED_VALUE"""),"Laboratory equipped for cultivation and isolation of extreme microorganisms , Application of selective media, enzimatyc screening")</f>
        <v>Laboratory equipped for cultivation and isolation of extreme microorganisms , Application of selective media, enzimatyc screening</v>
      </c>
      <c r="H16" s="2"/>
      <c r="I16" s="2"/>
      <c r="J16" s="2"/>
      <c r="K16" s="2"/>
      <c r="L16" s="2"/>
    </row>
    <row r="17" spans="1:12" x14ac:dyDescent="0.2">
      <c r="A17" s="2" t="str">
        <f ca="1">IFERROR(__xludf.DUMMYFUNCTION("""COMPUTED_VALUE"""),"CNR-ISP-ME")</f>
        <v>CNR-ISP-ME</v>
      </c>
      <c r="B17" s="2" t="str">
        <f ca="1">IFERROR(__xludf.DUMMYFUNCTION("""COMPUTED_VALUE"""),"Experimental facilities")</f>
        <v>Experimental facilities</v>
      </c>
      <c r="C17" s="2" t="str">
        <f ca="1">IFERROR(__xludf.DUMMYFUNCTION("""COMPUTED_VALUE"""),"Aquaria and tanks")</f>
        <v>Aquaria and tanks</v>
      </c>
      <c r="D17" s="2" t="str">
        <f ca="1">IFERROR(__xludf.DUMMYFUNCTION("""COMPUTED_VALUE"""),"Tanks available for manipulative experiments on arctic marine invertebrates. Climate controlled room with experimental seawater tanks for maintenance and experiments on marine organisms, microcosms, in Ny-Ålesund (Svalbard, Norway)")</f>
        <v>Tanks available for manipulative experiments on arctic marine invertebrates. Climate controlled room with experimental seawater tanks for maintenance and experiments on marine organisms, microcosms, in Ny-Ålesund (Svalbard, Norway)</v>
      </c>
      <c r="E17" s="2" t="str">
        <f ca="1">IFERROR(__xludf.DUMMYFUNCTION("""COMPUTED_VALUE"""),"on-site and remote")</f>
        <v>on-site and remote</v>
      </c>
      <c r="F17" s="2" t="str">
        <f ca="1">IFERROR(__xludf.DUMMYFUNCTION("""COMPUTED_VALUE"""),"available")</f>
        <v>available</v>
      </c>
      <c r="G17" s="2" t="str">
        <f ca="1">IFERROR(__xludf.DUMMYFUNCTION("""COMPUTED_VALUE"""),"Expert knowledge of handling and experimentation on marine organisms.")</f>
        <v>Expert knowledge of handling and experimentation on marine organisms.</v>
      </c>
      <c r="H17" s="2"/>
      <c r="I17" s="2"/>
      <c r="J17" s="2"/>
      <c r="K17" s="2"/>
      <c r="L17" s="2"/>
    </row>
    <row r="18" spans="1:12" x14ac:dyDescent="0.2">
      <c r="A18" s="2" t="str">
        <f ca="1">IFERROR(__xludf.DUMMYFUNCTION("""COMPUTED_VALUE"""),"CNR-ISP-ME")</f>
        <v>CNR-ISP-ME</v>
      </c>
      <c r="B18" s="2" t="str">
        <f ca="1">IFERROR(__xludf.DUMMYFUNCTION("""COMPUTED_VALUE"""),"Experimental facilities")</f>
        <v>Experimental facilities</v>
      </c>
      <c r="C18" s="2" t="str">
        <f ca="1">IFERROR(__xludf.DUMMYFUNCTION("""COMPUTED_VALUE"""),"Climate controlled rooms")</f>
        <v>Climate controlled rooms</v>
      </c>
      <c r="D18" s="2" t="str">
        <f ca="1">IFERROR(__xludf.DUMMYFUNCTION("""COMPUTED_VALUE"""),"Access to Facility for controlled microorganisms’ cultivation, including incubator vessels at high pressure, environmental remediation technologies testing (e.g. bioremediation and sediment remediation), laboratory for cultivation of aerobic microbial com"&amp;"munities, screening of bacterial isolates for their antibiotic susceptibility and enzymatic profiles, plastic-associated microbiota (plastisphere) structural and functional characterization.")</f>
        <v>Access to Facility for controlled microorganisms’ cultivation, including incubator vessels at high pressure, environmental remediation technologies testing (e.g. bioremediation and sediment remediation), laboratory for cultivation of aerobic microbial communities, screening of bacterial isolates for their antibiotic susceptibility and enzymatic profiles, plastic-associated microbiota (plastisphere) structural and functional characterization.</v>
      </c>
      <c r="E18" s="2" t="str">
        <f ca="1">IFERROR(__xludf.DUMMYFUNCTION("""COMPUTED_VALUE"""),"on-site and remote")</f>
        <v>on-site and remote</v>
      </c>
      <c r="F18" s="2" t="str">
        <f ca="1">IFERROR(__xludf.DUMMYFUNCTION("""COMPUTED_VALUE"""),"available")</f>
        <v>available</v>
      </c>
      <c r="G18" s="2" t="str">
        <f ca="1">IFERROR(__xludf.DUMMYFUNCTION("""COMPUTED_VALUE"""),"Laboratory for cultivation of aerobic microbial communities, screening of bacterial isolates for their antibiotic susceptibility and enzymatic profiles; plastic-associated microbiota (plastisphere) structural and functional characterization at ISP Messina"&amp;". Suitable for incubation under pressure of up to 50 Mpa; Experimentation of technologies for confinement and oxygenation of sediment to accelerate natural biodegradation processes")</f>
        <v>Laboratory for cultivation of aerobic microbial communities, screening of bacterial isolates for their antibiotic susceptibility and enzymatic profiles; plastic-associated microbiota (plastisphere) structural and functional characterization at ISP Messina. Suitable for incubation under pressure of up to 50 Mpa; Experimentation of technologies for confinement and oxygenation of sediment to accelerate natural biodegradation processes</v>
      </c>
      <c r="H18" s="2"/>
      <c r="I18" s="2"/>
      <c r="J18" s="2"/>
      <c r="K18" s="2"/>
      <c r="L18" s="2"/>
    </row>
    <row r="19" spans="1:12" x14ac:dyDescent="0.2">
      <c r="A19" s="2" t="str">
        <f ca="1">IFERROR(__xludf.DUMMYFUNCTION("""COMPUTED_VALUE"""),"CNR-ISP-ME")</f>
        <v>CNR-ISP-ME</v>
      </c>
      <c r="B19" s="2" t="str">
        <f ca="1">IFERROR(__xludf.DUMMYFUNCTION("""COMPUTED_VALUE"""),"Technology platforms")</f>
        <v>Technology platforms</v>
      </c>
      <c r="C19" s="2" t="str">
        <f ca="1">IFERROR(__xludf.DUMMYFUNCTION("""COMPUTED_VALUE"""),"Bioassays")</f>
        <v>Bioassays</v>
      </c>
      <c r="D19" s="2" t="str">
        <f ca="1">IFERROR(__xludf.DUMMYFUNCTION("""COMPUTED_VALUE"""),"Access to facility for microbial enzymatc activities testing (leucin aminopeptidase, beta-glucosidase and alkaline phosphatase); Respiratory (ETS) activity, Carbon substrates utilization profiles (Biolog Ecoplates)")</f>
        <v>Access to facility for microbial enzymatc activities testing (leucin aminopeptidase, beta-glucosidase and alkaline phosphatase); Respiratory (ETS) activity, Carbon substrates utilization profiles (Biolog Ecoplates)</v>
      </c>
      <c r="E19" s="2" t="str">
        <f ca="1">IFERROR(__xludf.DUMMYFUNCTION("""COMPUTED_VALUE"""),"on-site and remote")</f>
        <v>on-site and remote</v>
      </c>
      <c r="F19" s="2" t="str">
        <f ca="1">IFERROR(__xludf.DUMMYFUNCTION("""COMPUTED_VALUE"""),"available")</f>
        <v>available</v>
      </c>
      <c r="G19" s="2" t="str">
        <f ca="1">IFERROR(__xludf.DUMMYFUNCTION("""COMPUTED_VALUE"""),"Two decades experience in enzymatic activity and respiratory rates involved in organic matter turnover in different matrices (water, sediments, marine, brackish and freshwater environments); physiological response (digestive and immune functions) of marin"&amp;"e Teleosts to natural and anthropic stressors")</f>
        <v>Two decades experience in enzymatic activity and respiratory rates involved in organic matter turnover in different matrices (water, sediments, marine, brackish and freshwater environments); physiological response (digestive and immune functions) of marine Teleosts to natural and anthropic stressors</v>
      </c>
      <c r="H19" s="2"/>
      <c r="I19" s="2"/>
      <c r="J19" s="2"/>
      <c r="K19" s="2"/>
      <c r="L19" s="2"/>
    </row>
    <row r="20" spans="1:12" x14ac:dyDescent="0.2">
      <c r="A20" s="2" t="str">
        <f ca="1">IFERROR(__xludf.DUMMYFUNCTION("""COMPUTED_VALUE"""),"CNR-ISP-ME")</f>
        <v>CNR-ISP-ME</v>
      </c>
      <c r="B20" s="2" t="str">
        <f ca="1">IFERROR(__xludf.DUMMYFUNCTION("""COMPUTED_VALUE"""),"Technology platforms")</f>
        <v>Technology platforms</v>
      </c>
      <c r="C20" s="2" t="str">
        <f ca="1">IFERROR(__xludf.DUMMYFUNCTION("""COMPUTED_VALUE"""),"Molecular biology and omics")</f>
        <v>Molecular biology and omics</v>
      </c>
      <c r="D20" s="2" t="str">
        <f ca="1">IFERROR(__xludf.DUMMYFUNCTION("""COMPUTED_VALUE"""),"Cultivation and genomic analysis of microorganisms isolated from extreme environments")</f>
        <v>Cultivation and genomic analysis of microorganisms isolated from extreme environments</v>
      </c>
      <c r="E20" s="2" t="str">
        <f ca="1">IFERROR(__xludf.DUMMYFUNCTION("""COMPUTED_VALUE"""),"on-site and remote")</f>
        <v>on-site and remote</v>
      </c>
      <c r="F20" s="2" t="str">
        <f ca="1">IFERROR(__xludf.DUMMYFUNCTION("""COMPUTED_VALUE"""),"available")</f>
        <v>available</v>
      </c>
      <c r="G20" s="2" t="str">
        <f ca="1">IFERROR(__xludf.DUMMYFUNCTION("""COMPUTED_VALUE"""),"Polar Bacterial strain cultivation and identification; screening for biotechnological potentialities; bioinformatics")</f>
        <v>Polar Bacterial strain cultivation and identification; screening for biotechnological potentialities; bioinformatics</v>
      </c>
      <c r="H20" s="2"/>
      <c r="I20" s="2"/>
      <c r="J20" s="2"/>
      <c r="K20" s="2"/>
      <c r="L20" s="2"/>
    </row>
    <row r="21" spans="1:12" x14ac:dyDescent="0.2">
      <c r="A21" s="2" t="str">
        <f ca="1">IFERROR(__xludf.DUMMYFUNCTION("""COMPUTED_VALUE"""),"CNR-ISP-ME")</f>
        <v>CNR-ISP-ME</v>
      </c>
      <c r="B21" s="2" t="str">
        <f ca="1">IFERROR(__xludf.DUMMYFUNCTION("""COMPUTED_VALUE"""),"Technology platforms")</f>
        <v>Technology platforms</v>
      </c>
      <c r="C21" s="2" t="str">
        <f ca="1">IFERROR(__xludf.DUMMYFUNCTION("""COMPUTED_VALUE"""),"Remote sensing and telemetry")</f>
        <v>Remote sensing and telemetry</v>
      </c>
      <c r="D21" s="2" t="str">
        <f ca="1">IFERROR(__xludf.DUMMYFUNCTION("""COMPUTED_VALUE"""),"Polar acoustic measurements for maritime traffic and marine megafauna assessment")</f>
        <v>Polar acoustic measurements for maritime traffic and marine megafauna assessment</v>
      </c>
      <c r="E21" s="2" t="str">
        <f ca="1">IFERROR(__xludf.DUMMYFUNCTION("""COMPUTED_VALUE"""),"remote")</f>
        <v>remote</v>
      </c>
      <c r="F21" s="2" t="str">
        <f ca="1">IFERROR(__xludf.DUMMYFUNCTION("""COMPUTED_VALUE"""),"available")</f>
        <v>available</v>
      </c>
      <c r="G21" s="2" t="str">
        <f ca="1">IFERROR(__xludf.DUMMYFUNCTION("""COMPUTED_VALUE"""),"Polar Acoustic data analysis; Estimation of underwater noise and environmental acoustic components; Evaluation of ecological dynamics through the analysis of the acoustic vocalizations of marine mammals; Analysis of the biochemical, physiological and beha"&amp;"vioural responses of animals exposed to acoustic disturbance.")</f>
        <v>Polar Acoustic data analysis; Estimation of underwater noise and environmental acoustic components; Evaluation of ecological dynamics through the analysis of the acoustic vocalizations of marine mammals; Analysis of the biochemical, physiological and behavioural responses of animals exposed to acoustic disturbance.</v>
      </c>
      <c r="H21" s="2"/>
      <c r="I21" s="2"/>
      <c r="J21" s="2"/>
      <c r="K21" s="2"/>
      <c r="L21" s="2"/>
    </row>
    <row r="22" spans="1:12" x14ac:dyDescent="0.2">
      <c r="A22" s="2" t="str">
        <f ca="1">IFERROR(__xludf.DUMMYFUNCTION("""COMPUTED_VALUE"""),"CNR-IRBIM-L")</f>
        <v>CNR-IRBIM-L</v>
      </c>
      <c r="B22" s="2" t="str">
        <f ca="1">IFERROR(__xludf.DUMMYFUNCTION("""COMPUTED_VALUE"""),"Biological resources")</f>
        <v>Biological resources</v>
      </c>
      <c r="C22" s="2" t="str">
        <f ca="1">IFERROR(__xludf.DUMMYFUNCTION("""COMPUTED_VALUE"""),"Organisms collected in the wild")</f>
        <v>Organisms collected in the wild</v>
      </c>
      <c r="D22" s="2" t="str">
        <f ca="1">IFERROR(__xludf.DUMMYFUNCTION("""COMPUTED_VALUE"""),"Collect and supply of fauna specimens in Lesina lagoon")</f>
        <v>Collect and supply of fauna specimens in Lesina lagoon</v>
      </c>
      <c r="E22" s="2" t="str">
        <f ca="1">IFERROR(__xludf.DUMMYFUNCTION("""COMPUTED_VALUE"""),"on-site and remote")</f>
        <v>on-site and remote</v>
      </c>
      <c r="F22" s="2" t="str">
        <f ca="1">IFERROR(__xludf.DUMMYFUNCTION("""COMPUTED_VALUE"""),"available")</f>
        <v>available</v>
      </c>
      <c r="G22" s="2" t="str">
        <f ca="1">IFERROR(__xludf.DUMMYFUNCTION("""COMPUTED_VALUE"""),"Fish and other macrozoobenthos can be collected in situ, including Polychaeta, Bivalvia, Gastropoda,Isopoda, Amphipoda. Lagoon macrofauna also includes Mugil cephalus, Sparus aurata, Atherina boyeri, Aphanius fasciatus, Anguilla anguilla, macroalgae. A bo"&amp;"x-corer is used for macrozoobenthos sampling. Macrofauna sampling is mainly based on the use of “paranza”, a traditional fishing system made up of net walls fixed on stakes and retaining devices (fyke-nets).  Contextual taxonomic identification is availab"&amp;"le.")</f>
        <v>Fish and other macrozoobenthos can be collected in situ, including Polychaeta, Bivalvia, Gastropoda,Isopoda, Amphipoda. Lagoon macrofauna also includes Mugil cephalus, Sparus aurata, Atherina boyeri, Aphanius fasciatus, Anguilla anguilla, macroalgae. A box-corer is used for macrozoobenthos sampling. Macrofauna sampling is mainly based on the use of “paranza”, a traditional fishing system made up of net walls fixed on stakes and retaining devices (fyke-nets).  Contextual taxonomic identification is available.</v>
      </c>
      <c r="H22" s="2" t="str">
        <f ca="1">IFERROR(__xludf.DUMMYFUNCTION("""COMPUTED_VALUE"""),"Vertebrata, Crustacea, Bivalvia, traditional fishing, model")</f>
        <v>Vertebrata, Crustacea, Bivalvia, traditional fishing, model</v>
      </c>
      <c r="I22" s="2"/>
      <c r="J22" s="2"/>
      <c r="K22" s="2"/>
      <c r="L22" s="2"/>
    </row>
    <row r="23" spans="1:12" x14ac:dyDescent="0.2">
      <c r="A23" s="2" t="str">
        <f ca="1">IFERROR(__xludf.DUMMYFUNCTION("""COMPUTED_VALUE"""),"CNR-IRBIM-L")</f>
        <v>CNR-IRBIM-L</v>
      </c>
      <c r="B23" s="2" t="str">
        <f ca="1">IFERROR(__xludf.DUMMYFUNCTION("""COMPUTED_VALUE"""),"Technology platforms")</f>
        <v>Technology platforms</v>
      </c>
      <c r="C23" s="2" t="str">
        <f ca="1">IFERROR(__xludf.DUMMYFUNCTION("""COMPUTED_VALUE"""),"Remote sensing and telemetry")</f>
        <v>Remote sensing and telemetry</v>
      </c>
      <c r="D23" s="2" t="str">
        <f ca="1">IFERROR(__xludf.DUMMYFUNCTION("""COMPUTED_VALUE"""),"Access to inshore stations of intertidal areas of the Lesina lagoon")</f>
        <v>Access to inshore stations of intertidal areas of the Lesina lagoon</v>
      </c>
      <c r="E23" s="2" t="str">
        <f ca="1">IFERROR(__xludf.DUMMYFUNCTION("""COMPUTED_VALUE"""),"on-site and remote")</f>
        <v>on-site and remote</v>
      </c>
      <c r="F23" s="2" t="str">
        <f ca="1">IFERROR(__xludf.DUMMYFUNCTION("""COMPUTED_VALUE"""),"available")</f>
        <v>available</v>
      </c>
      <c r="G23" s="2" t="str">
        <f ca="1">IFERROR(__xludf.DUMMYFUNCTION("""COMPUTED_VALUE"""),"Inshore meteorological station(ISMAR laboratories), 20 m away from south-western shore of the Lesina lagoon, is availabable fpr data retrieving. Data: wind speed and direction, air temperature, atmospheric pressure, humidity, precipitation. Real time data"&amp;" transmissionHydro station, 10 m from the shore, bottom depth 05-07 m. data: water temperature and level. Real time data transmission.")</f>
        <v>Inshore meteorological station(ISMAR laboratories), 20 m away from south-western shore of the Lesina lagoon, is availabable fpr data retrieving. Data: wind speed and direction, air temperature, atmospheric pressure, humidity, precipitation. Real time data transmissionHydro station, 10 m from the shore, bottom depth 05-07 m. data: water temperature and level. Real time data transmission.</v>
      </c>
      <c r="H23" s="2" t="str">
        <f ca="1">IFERROR(__xludf.DUMMYFUNCTION("""COMPUTED_VALUE"""),"Atmspheric data, water data, inshore station, lagoon")</f>
        <v>Atmspheric data, water data, inshore station, lagoon</v>
      </c>
      <c r="I23" s="2"/>
      <c r="J23" s="2"/>
      <c r="K23" s="2"/>
      <c r="L23" s="2"/>
    </row>
    <row r="24" spans="1:12" x14ac:dyDescent="0.2">
      <c r="A24" s="2" t="str">
        <f ca="1">IFERROR(__xludf.DUMMYFUNCTION("""COMPUTED_VALUE"""),"CNR-IRBIM-L")</f>
        <v>CNR-IRBIM-L</v>
      </c>
      <c r="B24" s="2" t="str">
        <f ca="1">IFERROR(__xludf.DUMMYFUNCTION("""COMPUTED_VALUE"""),"Ecosystem access")</f>
        <v>Ecosystem access</v>
      </c>
      <c r="C24" s="2" t="str">
        <f ca="1">IFERROR(__xludf.DUMMYFUNCTION("""COMPUTED_VALUE"""),"Coastal research vessels")</f>
        <v>Coastal research vessels</v>
      </c>
      <c r="D24" s="2" t="str">
        <f ca="1">IFERROR(__xludf.DUMMYFUNCTION("""COMPUTED_VALUE"""),"Access and sampling of intertidal areas of the Lesina lagoon (small aluminum boat for lagoon waters, 4 m)")</f>
        <v>Access and sampling of intertidal areas of the Lesina lagoon (small aluminum boat for lagoon waters, 4 m)</v>
      </c>
      <c r="E24" s="2" t="str">
        <f ca="1">IFERROR(__xludf.DUMMYFUNCTION("""COMPUTED_VALUE"""),"on-site and remote")</f>
        <v>on-site and remote</v>
      </c>
      <c r="F24" s="2" t="str">
        <f ca="1">IFERROR(__xludf.DUMMYFUNCTION("""COMPUTED_VALUE"""),"available")</f>
        <v>available</v>
      </c>
      <c r="G24" s="2" t="str">
        <f ca="1">IFERROR(__xludf.DUMMYFUNCTION("""COMPUTED_VALUE"""),"Access to Lesina lagoon by research vessel ""Sandalo"" (lenght 6m). Equipment for sampling (Niskin bottles, multiparametric probes, box-corer, phytoplankton and zooplankton nets) is available. A number of inverted microscope is available for phytoplankton"&amp;" samples cells counting is available.")</f>
        <v>Access to Lesina lagoon by research vessel "Sandalo" (lenght 6m). Equipment for sampling (Niskin bottles, multiparametric probes, box-corer, phytoplankton and zooplankton nets) is available. A number of inverted microscope is available for phytoplankton samples cells counting is available.</v>
      </c>
      <c r="H24" s="2" t="str">
        <f ca="1">IFERROR(__xludf.DUMMYFUNCTION("""COMPUTED_VALUE"""),"lagoon; field sampling; coastal sampling; boat; diving, Sampling equipment, Plankton; water column; seabed; box corer, lagoon; brackish; colection; taxonomy, identification, biological communities, nematodes, macrobenthos")</f>
        <v>lagoon; field sampling; coastal sampling; boat; diving, Sampling equipment, Plankton; water column; seabed; box corer, lagoon; brackish; colection; taxonomy, identification, biological communities, nematodes, macrobenthos</v>
      </c>
      <c r="I24" s="2"/>
      <c r="J24" s="2"/>
      <c r="K24" s="2"/>
      <c r="L24" s="2"/>
    </row>
    <row r="25" spans="1:12" x14ac:dyDescent="0.2">
      <c r="A25" s="2" t="str">
        <f ca="1">IFERROR(__xludf.DUMMYFUNCTION("""COMPUTED_VALUE"""),"CNR-IRBIM-L")</f>
        <v>CNR-IRBIM-L</v>
      </c>
      <c r="B25" s="2" t="str">
        <f ca="1">IFERROR(__xludf.DUMMYFUNCTION("""COMPUTED_VALUE"""),"Technology platforms")</f>
        <v>Technology platforms</v>
      </c>
      <c r="C25" s="2" t="str">
        <f ca="1">IFERROR(__xludf.DUMMYFUNCTION("""COMPUTED_VALUE"""),"Structural and chemical analysis")</f>
        <v>Structural and chemical analysis</v>
      </c>
      <c r="D25" s="2" t="str">
        <f ca="1">IFERROR(__xludf.DUMMYFUNCTION("""COMPUTED_VALUE"""),"Environmental analysis of nutrients, chlorophyll a, Dissolved Organic Carbon and its chromophoric fraction")</f>
        <v>Environmental analysis of nutrients, chlorophyll a, Dissolved Organic Carbon and its chromophoric fraction</v>
      </c>
      <c r="E25" s="2" t="str">
        <f ca="1">IFERROR(__xludf.DUMMYFUNCTION("""COMPUTED_VALUE"""),"on-site and remote")</f>
        <v>on-site and remote</v>
      </c>
      <c r="F25" s="2" t="str">
        <f ca="1">IFERROR(__xludf.DUMMYFUNCTION("""COMPUTED_VALUE"""),"available")</f>
        <v>available</v>
      </c>
      <c r="G25" s="2" t="str">
        <f ca="1">IFERROR(__xludf.DUMMYFUNCTION("""COMPUTED_VALUE"""),"Chemical lab equipped with Autoanalyzer 3 - Bran + Luebbe (Norderstedt, Germany) and Trilogy laboratory Fluorometer (Turner Designs, V. 1.2); SHIMADZUTOC-L CHS series + SSM 5000 and to SHIMADZU 2600 series dual beam UV-VIS spectrophotometer")</f>
        <v>Chemical lab equipped with Autoanalyzer 3 - Bran + Luebbe (Norderstedt, Germany) and Trilogy laboratory Fluorometer (Turner Designs, V. 1.2); SHIMADZUTOC-L CHS series + SSM 5000 and to SHIMADZU 2600 series dual beam UV-VIS spectrophotometer</v>
      </c>
      <c r="H25" s="2" t="str">
        <f ca="1">IFERROR(__xludf.DUMMYFUNCTION("""COMPUTED_VALUE"""),"nutrients, chlorophyll a, Dissolved Organic Carbon")</f>
        <v>nutrients, chlorophyll a, Dissolved Organic Carbon</v>
      </c>
      <c r="I25" s="2"/>
      <c r="J25" s="2"/>
      <c r="K25" s="2"/>
      <c r="L25" s="2"/>
    </row>
    <row r="26" spans="1:12" x14ac:dyDescent="0.2">
      <c r="A26" s="2" t="str">
        <f ca="1">IFERROR(__xludf.DUMMYFUNCTION("""COMPUTED_VALUE"""),"CNR-IRBIM-M")</f>
        <v>CNR-IRBIM-M</v>
      </c>
      <c r="B26" s="2" t="str">
        <f ca="1">IFERROR(__xludf.DUMMYFUNCTION("""COMPUTED_VALUE"""),"Biological resources")</f>
        <v>Biological resources</v>
      </c>
      <c r="C26" s="2" t="str">
        <f ca="1">IFERROR(__xludf.DUMMYFUNCTION("""COMPUTED_VALUE"""),"Organisms collected in the wild")</f>
        <v>Organisms collected in the wild</v>
      </c>
      <c r="D26" s="2" t="str">
        <f ca="1">IFERROR(__xludf.DUMMYFUNCTION("""COMPUTED_VALUE"""),"Collect and supply of bony fishes, cephalopods, crustaceans and elasmobranchs from GSA10")</f>
        <v>Collect and supply of bony fishes, cephalopods, crustaceans and elasmobranchs from GSA10</v>
      </c>
      <c r="E26" s="2" t="str">
        <f ca="1">IFERROR(__xludf.DUMMYFUNCTION("""COMPUTED_VALUE"""),"on-site and remote")</f>
        <v>on-site and remote</v>
      </c>
      <c r="F26" s="2" t="str">
        <f ca="1">IFERROR(__xludf.DUMMYFUNCTION("""COMPUTED_VALUE"""),"available")</f>
        <v>available</v>
      </c>
      <c r="G26" s="2"/>
      <c r="H26" s="2" t="str">
        <f ca="1">IFERROR(__xludf.DUMMYFUNCTION("""COMPUTED_VALUE"""),"bony fishes, chephalopods, crustaceans, elasmobranchs")</f>
        <v>bony fishes, chephalopods, crustaceans, elasmobranchs</v>
      </c>
      <c r="I26" s="2"/>
      <c r="J26" s="2"/>
      <c r="K26" s="2"/>
      <c r="L26" s="2"/>
    </row>
    <row r="27" spans="1:12" x14ac:dyDescent="0.2">
      <c r="A27" s="2" t="str">
        <f ca="1">IFERROR(__xludf.DUMMYFUNCTION("""COMPUTED_VALUE"""),"CNR-ISMAR")</f>
        <v>CNR-ISMAR</v>
      </c>
      <c r="B27" s="2" t="str">
        <f ca="1">IFERROR(__xludf.DUMMYFUNCTION("""COMPUTED_VALUE"""),"Biological resources")</f>
        <v>Biological resources</v>
      </c>
      <c r="C27" s="2" t="str">
        <f ca="1">IFERROR(__xludf.DUMMYFUNCTION("""COMPUTED_VALUE"""),"Organisms collected in the wild")</f>
        <v>Organisms collected in the wild</v>
      </c>
      <c r="D27" s="2" t="str">
        <f ca="1">IFERROR(__xludf.DUMMYFUNCTION("""COMPUTED_VALUE"""),"Collection of benthic model organisms (Ciona, mussels, oysters, anemones, polychaetes etc.) and macroalgae from the Venice lagoon and nearby marine coastal waters")</f>
        <v>Collection of benthic model organisms (Ciona, mussels, oysters, anemones, polychaetes etc.) and macroalgae from the Venice lagoon and nearby marine coastal waters</v>
      </c>
      <c r="E27" s="2" t="str">
        <f ca="1">IFERROR(__xludf.DUMMYFUNCTION("""COMPUTED_VALUE"""),"on-site and remote")</f>
        <v>on-site and remote</v>
      </c>
      <c r="F27" s="2" t="str">
        <f ca="1">IFERROR(__xludf.DUMMYFUNCTION("""COMPUTED_VALUE"""),"available")</f>
        <v>available</v>
      </c>
      <c r="G27" s="2"/>
      <c r="H27" s="2" t="str">
        <f ca="1">IFERROR(__xludf.DUMMYFUNCTION("""COMPUTED_VALUE"""),"Ciona, mussels, oysters, anemones, polychaetes, macroalgae")</f>
        <v>Ciona, mussels, oysters, anemones, polychaetes, macroalgae</v>
      </c>
      <c r="I27" s="2"/>
      <c r="J27" s="2"/>
      <c r="K27" s="2"/>
      <c r="L27" s="2"/>
    </row>
    <row r="28" spans="1:12" x14ac:dyDescent="0.2">
      <c r="A28" s="2" t="str">
        <f ca="1">IFERROR(__xludf.DUMMYFUNCTION("""COMPUTED_VALUE"""),"CNR-ISMAR")</f>
        <v>CNR-ISMAR</v>
      </c>
      <c r="B28" s="2" t="str">
        <f ca="1">IFERROR(__xludf.DUMMYFUNCTION("""COMPUTED_VALUE"""),"Ecosystem access")</f>
        <v>Ecosystem access</v>
      </c>
      <c r="C28" s="2" t="str">
        <f ca="1">IFERROR(__xludf.DUMMYFUNCTION("""COMPUTED_VALUE"""),"Coastal research vessels")</f>
        <v>Coastal research vessels</v>
      </c>
      <c r="D28" s="2" t="str">
        <f ca="1">IFERROR(__xludf.DUMMYFUNCTION("""COMPUTED_VALUE"""),"Access/ sampling in the Venice lagoon and nearby marine coastal sites (sampling of water, sediment, phyto, zooplankton, benthos, microplastic debris)")</f>
        <v>Access/ sampling in the Venice lagoon and nearby marine coastal sites (sampling of water, sediment, phyto, zooplankton, benthos, microplastic debris)</v>
      </c>
      <c r="E28" s="2" t="str">
        <f ca="1">IFERROR(__xludf.DUMMYFUNCTION("""COMPUTED_VALUE"""),"on-site")</f>
        <v>on-site</v>
      </c>
      <c r="F28" s="2" t="str">
        <f ca="1">IFERROR(__xludf.DUMMYFUNCTION("""COMPUTED_VALUE"""),"available")</f>
        <v>available</v>
      </c>
      <c r="G28" s="2" t="str">
        <f ca="1">IFERROR(__xludf.DUMMYFUNCTION("""COMPUTED_VALUE"""),"One 5 meters and one 10 meters length small vessels for access and sampling Venice lagoon, with possibilities of accessing LTER sites  (5 lagoons + 1 offshore LTER sites, urban channels, saltmarshes, seagrass beds, Venice industrial and harbour areas), no"&amp;"rth Adriatic coastal sites and tegnue coralligenous banks (Chioggia).  Access provided to laboratories for collected sample handling, observation under microscopes (stereo, optical, direct inverted EF microscope) of plankton, benthos, microbes, basic mole"&amp;"cular facilities (electrophoresys, PCRs), chemical and microbiological hoods, refrigerated centrifuge, autoclave, etc")</f>
        <v>One 5 meters and one 10 meters length small vessels for access and sampling Venice lagoon, with possibilities of accessing LTER sites  (5 lagoons + 1 offshore LTER sites, urban channels, saltmarshes, seagrass beds, Venice industrial and harbour areas), north Adriatic coastal sites and tegnue coralligenous banks (Chioggia).  Access provided to laboratories for collected sample handling, observation under microscopes (stereo, optical, direct inverted EF microscope) of plankton, benthos, microbes, basic molecular facilities (electrophoresys, PCRs), chemical and microbiological hoods, refrigerated centrifuge, autoclave, etc</v>
      </c>
      <c r="H28" s="2" t="str">
        <f ca="1">IFERROR(__xludf.DUMMYFUNCTION("""COMPUTED_VALUE"""),"Venice lagoon, North Adriatic coastal site, plankton, corer, sediments, manta net, dissection, plankton, benthos, microbes, PCR, molecular biology")</f>
        <v>Venice lagoon, North Adriatic coastal site, plankton, corer, sediments, manta net, dissection, plankton, benthos, microbes, PCR, molecular biology</v>
      </c>
      <c r="I28" s="2"/>
      <c r="J28" s="2"/>
      <c r="K28" s="2"/>
      <c r="L28" s="2"/>
    </row>
    <row r="29" spans="1:12" x14ac:dyDescent="0.2">
      <c r="A29" s="2" t="str">
        <f ca="1">IFERROR(__xludf.DUMMYFUNCTION("""COMPUTED_VALUE"""),"CNR-ISMAR")</f>
        <v>CNR-ISMAR</v>
      </c>
      <c r="B29" s="2" t="str">
        <f ca="1">IFERROR(__xludf.DUMMYFUNCTION("""COMPUTED_VALUE"""),"E-services")</f>
        <v>E-services</v>
      </c>
      <c r="C29" s="2" t="str">
        <f ca="1">IFERROR(__xludf.DUMMYFUNCTION("""COMPUTED_VALUE"""),"Data analysis tools and software")</f>
        <v>Data analysis tools and software</v>
      </c>
      <c r="D29" s="2" t="str">
        <f ca="1">IFERROR(__xludf.DUMMYFUNCTION("""COMPUTED_VALUE"""),"MSP (Marine Spatial Planning) tools")</f>
        <v>MSP (Marine Spatial Planning) tools</v>
      </c>
      <c r="E29" s="2" t="str">
        <f ca="1">IFERROR(__xludf.DUMMYFUNCTION("""COMPUTED_VALUE"""),"on-site and remote")</f>
        <v>on-site and remote</v>
      </c>
      <c r="F29" s="2" t="str">
        <f ca="1">IFERROR(__xludf.DUMMYFUNCTION("""COMPUTED_VALUE"""),"not available")</f>
        <v>not available</v>
      </c>
      <c r="G29" s="2" t="str">
        <f ca="1">IFERROR(__xludf.DUMMYFUNCTION("""COMPUTED_VALUE"""),"Software-algorithms development and customization available upon request. Expertize on high resolution Multibeam, habitat mapping, videotransects, videoimaging (Venice lagoon, channels, coastal sites), Training expertize and facilities on Multibeam, habit"&amp;"at mapping, GIS. VM managment with SAN data storage and tape library backup available")</f>
        <v>Software-algorithms development and customization available upon request. Expertize on high resolution Multibeam, habitat mapping, videotransects, videoimaging (Venice lagoon, channels, coastal sites), Training expertize and facilities on Multibeam, habitat mapping, GIS. VM managment with SAN data storage and tape library backup available</v>
      </c>
      <c r="H29" s="2" t="str">
        <f ca="1">IFERROR(__xludf.DUMMYFUNCTION("""COMPUTED_VALUE"""),"MSP, softwares, storage, data, custome made")</f>
        <v>MSP, softwares, storage, data, custome made</v>
      </c>
      <c r="I29" s="2"/>
      <c r="J29" s="2"/>
      <c r="K29" s="2"/>
      <c r="L29" s="2"/>
    </row>
    <row r="30" spans="1:12" x14ac:dyDescent="0.2">
      <c r="A30" s="2" t="str">
        <f ca="1">IFERROR(__xludf.DUMMYFUNCTION("""COMPUTED_VALUE"""),"CNR-ISMAR")</f>
        <v>CNR-ISMAR</v>
      </c>
      <c r="B30" s="2" t="str">
        <f ca="1">IFERROR(__xludf.DUMMYFUNCTION("""COMPUTED_VALUE"""),"Technology platforms")</f>
        <v>Technology platforms</v>
      </c>
      <c r="C30" s="2" t="str">
        <f ca="1">IFERROR(__xludf.DUMMYFUNCTION("""COMPUTED_VALUE"""),"Bioassays")</f>
        <v>Bioassays</v>
      </c>
      <c r="D30" s="2" t="str">
        <f ca="1">IFERROR(__xludf.DUMMYFUNCTION("""COMPUTED_VALUE"""),"Access to ecotoxicology, chemistry labs (for genotoxicity, biochemical, cellular, histochemical and physiological biomarkers, histological and metal /organics for bioaccumulation analyses)")</f>
        <v>Access to ecotoxicology, chemistry labs (for genotoxicity, biochemical, cellular, histochemical and physiological biomarkers, histological and metal /organics for bioaccumulation analyses)</v>
      </c>
      <c r="E30" s="2" t="str">
        <f ca="1">IFERROR(__xludf.DUMMYFUNCTION("""COMPUTED_VALUE"""),"on-site")</f>
        <v>on-site</v>
      </c>
      <c r="F30" s="2" t="str">
        <f ca="1">IFERROR(__xludf.DUMMYFUNCTION("""COMPUTED_VALUE"""),"available")</f>
        <v>available</v>
      </c>
      <c r="G30" s="2"/>
      <c r="H30" s="2" t="str">
        <f ca="1">IFERROR(__xludf.DUMMYFUNCTION("""COMPUTED_VALUE"""),"Genotoxicity, biochemistry, cell, histochemistry, physiology")</f>
        <v>Genotoxicity, biochemistry, cell, histochemistry, physiology</v>
      </c>
      <c r="I30" s="2"/>
      <c r="J30" s="2"/>
      <c r="K30" s="2"/>
      <c r="L30" s="2"/>
    </row>
    <row r="31" spans="1:12" x14ac:dyDescent="0.2">
      <c r="A31" s="2" t="str">
        <f ca="1">IFERROR(__xludf.DUMMYFUNCTION("""COMPUTED_VALUE"""),"CNR-ISMAR")</f>
        <v>CNR-ISMAR</v>
      </c>
      <c r="B31" s="2" t="str">
        <f ca="1">IFERROR(__xludf.DUMMYFUNCTION("""COMPUTED_VALUE"""),"Technology platforms")</f>
        <v>Technology platforms</v>
      </c>
      <c r="C31" s="2" t="str">
        <f ca="1">IFERROR(__xludf.DUMMYFUNCTION("""COMPUTED_VALUE"""),"Remote sensing and telemetry")</f>
        <v>Remote sensing and telemetry</v>
      </c>
      <c r="D31" s="2" t="str">
        <f ca="1">IFERROR(__xludf.DUMMYFUNCTION("""COMPUTED_VALUE"""),"Access to Aqua Alta offshore oceanographic tower equipped with meteomarine and hydrographic sensors, wet lab, underwater videocameras and available to install sensors/automatic samplers")</f>
        <v>Access to Aqua Alta offshore oceanographic tower equipped with meteomarine and hydrographic sensors, wet lab, underwater videocameras and available to install sensors/automatic samplers</v>
      </c>
      <c r="E31" s="2" t="str">
        <f ca="1">IFERROR(__xludf.DUMMYFUNCTION("""COMPUTED_VALUE"""),"on-site and remote")</f>
        <v>on-site and remote</v>
      </c>
      <c r="F31" s="2" t="str">
        <f ca="1">IFERROR(__xludf.DUMMYFUNCTION("""COMPUTED_VALUE"""),"available")</f>
        <v>available</v>
      </c>
      <c r="G31" s="2" t="str">
        <f ca="1">IFERROR(__xludf.DUMMYFUNCTION("""COMPUTED_VALUE"""),"Aqua Alta is a unique offshore tower equipped with autonomous meteo-oceanographic instrumentation, sensors for hydrology, ADCP, hydrophones and 2 fixed underwater video cameras (continuos recording), wide band intranet connection, two rooms (small lab and"&amp;" accomodation)")</f>
        <v>Aqua Alta is a unique offshore tower equipped with autonomous meteo-oceanographic instrumentation, sensors for hydrology, ADCP, hydrophones and 2 fixed underwater video cameras (continuos recording), wide band intranet connection, two rooms (small lab and accomodation)</v>
      </c>
      <c r="H31" s="2" t="str">
        <f ca="1">IFERROR(__xludf.DUMMYFUNCTION("""COMPUTED_VALUE"""),"experiment, videorecording, oceanographic tower, Aqua Alta, Venice")</f>
        <v>experiment, videorecording, oceanographic tower, Aqua Alta, Venice</v>
      </c>
      <c r="I31" s="2"/>
      <c r="J31" s="2"/>
      <c r="K31" s="2"/>
      <c r="L31" s="2"/>
    </row>
    <row r="32" spans="1:12" x14ac:dyDescent="0.2">
      <c r="A32" s="2" t="str">
        <f ca="1">IFERROR(__xludf.DUMMYFUNCTION("""COMPUTED_VALUE"""),"CNR-IRSA-V")</f>
        <v>CNR-IRSA-V</v>
      </c>
      <c r="B32" s="2" t="str">
        <f ca="1">IFERROR(__xludf.DUMMYFUNCTION("""COMPUTED_VALUE"""),"Biological resources")</f>
        <v>Biological resources</v>
      </c>
      <c r="C32" s="2" t="str">
        <f ca="1">IFERROR(__xludf.DUMMYFUNCTION("""COMPUTED_VALUE"""),"Taxonomic services")</f>
        <v>Taxonomic services</v>
      </c>
      <c r="D32" s="2" t="str">
        <f ca="1">IFERROR(__xludf.DUMMYFUNCTION("""COMPUTED_VALUE"""),"DNA taxonomy, statistics")</f>
        <v>DNA taxonomy, statistics</v>
      </c>
      <c r="E32" s="2" t="str">
        <f ca="1">IFERROR(__xludf.DUMMYFUNCTION("""COMPUTED_VALUE"""),"on-site")</f>
        <v>on-site</v>
      </c>
      <c r="F32" s="2" t="str">
        <f ca="1">IFERROR(__xludf.DUMMYFUNCTION("""COMPUTED_VALUE"""),"available")</f>
        <v>available</v>
      </c>
      <c r="G32" s="2" t="str">
        <f ca="1">IFERROR(__xludf.DUMMYFUNCTION("""COMPUTED_VALUE"""),"single rooms with shared kitchen and bathrooms")</f>
        <v>single rooms with shared kitchen and bathrooms</v>
      </c>
      <c r="H32" s="2" t="str">
        <f ca="1">IFERROR(__xludf.DUMMYFUNCTION("""COMPUTED_VALUE"""),"accommodation, bed")</f>
        <v>accommodation, bed</v>
      </c>
      <c r="I32" s="2"/>
      <c r="J32" s="2"/>
      <c r="K32" s="2"/>
      <c r="L32" s="2"/>
    </row>
    <row r="33" spans="1:12" x14ac:dyDescent="0.2">
      <c r="A33" s="2" t="str">
        <f ca="1">IFERROR(__xludf.DUMMYFUNCTION("""COMPUTED_VALUE"""),"CNR-IRSA-V")</f>
        <v>CNR-IRSA-V</v>
      </c>
      <c r="B33" s="2" t="str">
        <f ca="1">IFERROR(__xludf.DUMMYFUNCTION("""COMPUTED_VALUE"""),"E-services")</f>
        <v>E-services</v>
      </c>
      <c r="C33" s="2" t="str">
        <f ca="1">IFERROR(__xludf.DUMMYFUNCTION("""COMPUTED_VALUE"""),"Data sets")</f>
        <v>Data sets</v>
      </c>
      <c r="D33" s="2" t="str">
        <f ca="1">IFERROR(__xludf.DUMMYFUNCTION("""COMPUTED_VALUE"""),"Access to the dataset on animals found in subterranean waters")</f>
        <v>Access to the dataset on animals found in subterranean waters</v>
      </c>
      <c r="E33" s="2" t="str">
        <f ca="1">IFERROR(__xludf.DUMMYFUNCTION("""COMPUTED_VALUE"""),"on-site and remote")</f>
        <v>on-site and remote</v>
      </c>
      <c r="F33" s="2" t="str">
        <f ca="1">IFERROR(__xludf.DUMMYFUNCTION("""COMPUTED_VALUE"""),"available")</f>
        <v>available</v>
      </c>
      <c r="G33" s="2" t="str">
        <f ca="1">IFERROR(__xludf.DUMMYFUNCTION("""COMPUTED_VALUE"""),"Large georeferenced dataset on animals found in subterranean waters. Data analysis tools and software and support on data analysis  on quantitative approaches in evolutionary ecology is available")</f>
        <v>Large georeferenced dataset on animals found in subterranean waters. Data analysis tools and software and support on data analysis  on quantitative approaches in evolutionary ecology is available</v>
      </c>
      <c r="H33" s="2" t="str">
        <f ca="1">IFERROR(__xludf.DUMMYFUNCTION("""COMPUTED_VALUE"""),"meiofauna, groundwater, subterranean water, caves, anchialine systems, R, generalised linear models, DNA taxonomy")</f>
        <v>meiofauna, groundwater, subterranean water, caves, anchialine systems, R, generalised linear models, DNA taxonomy</v>
      </c>
      <c r="I33" s="2"/>
      <c r="J33" s="2"/>
      <c r="K33" s="2"/>
      <c r="L33" s="2"/>
    </row>
    <row r="34" spans="1:12" x14ac:dyDescent="0.2">
      <c r="A34" s="2" t="str">
        <f ca="1">IFERROR(__xludf.DUMMYFUNCTION("""COMPUTED_VALUE"""),"CNR-IRSA-T")</f>
        <v>CNR-IRSA-T</v>
      </c>
      <c r="B34" s="2" t="str">
        <f ca="1">IFERROR(__xludf.DUMMYFUNCTION("""COMPUTED_VALUE"""),"Biological resources")</f>
        <v>Biological resources</v>
      </c>
      <c r="C34" s="2" t="str">
        <f ca="1">IFERROR(__xludf.DUMMYFUNCTION("""COMPUTED_VALUE"""),"Taxonomic services")</f>
        <v>Taxonomic services</v>
      </c>
      <c r="D34" s="2" t="str">
        <f ca="1">IFERROR(__xludf.DUMMYFUNCTION("""COMPUTED_VALUE"""),"Access to the Herbarium TAR for observation and loan")</f>
        <v>Access to the Herbarium TAR for observation and loan</v>
      </c>
      <c r="E34" s="2" t="str">
        <f ca="1">IFERROR(__xludf.DUMMYFUNCTION("""COMPUTED_VALUE"""),"on-site and remote")</f>
        <v>on-site and remote</v>
      </c>
      <c r="F34" s="2" t="str">
        <f ca="1">IFERROR(__xludf.DUMMYFUNCTION("""COMPUTED_VALUE"""),"available")</f>
        <v>available</v>
      </c>
      <c r="G34" s="2" t="str">
        <f ca="1">IFERROR(__xludf.DUMMYFUNCTION("""COMPUTED_VALUE"""),"Collection of organisms of different groups; Expert taxonomists support for marine taxa available")</f>
        <v>Collection of organisms of different groups; Expert taxonomists support for marine taxa available</v>
      </c>
      <c r="H34" s="2" t="str">
        <f ca="1">IFERROR(__xludf.DUMMYFUNCTION("""COMPUTED_VALUE"""),"Phytoplankton, phytobenthos, zooplankton, meiofauna, dry herbarium")</f>
        <v>Phytoplankton, phytobenthos, zooplankton, meiofauna, dry herbarium</v>
      </c>
      <c r="I34" s="2"/>
      <c r="J34" s="2"/>
      <c r="K34" s="2"/>
      <c r="L34" s="2"/>
    </row>
    <row r="35" spans="1:12" x14ac:dyDescent="0.2">
      <c r="A35" s="2" t="str">
        <f ca="1">IFERROR(__xludf.DUMMYFUNCTION("""COMPUTED_VALUE"""),"CNR-IRSA-T")</f>
        <v>CNR-IRSA-T</v>
      </c>
      <c r="B35" s="2" t="str">
        <f ca="1">IFERROR(__xludf.DUMMYFUNCTION("""COMPUTED_VALUE"""),"Ecosystem access")</f>
        <v>Ecosystem access</v>
      </c>
      <c r="C35" s="2" t="str">
        <f ca="1">IFERROR(__xludf.DUMMYFUNCTION("""COMPUTED_VALUE"""),"Coastal research vessels")</f>
        <v>Coastal research vessels</v>
      </c>
      <c r="D35" s="2" t="str">
        <f ca="1">IFERROR(__xludf.DUMMYFUNCTION("""COMPUTED_VALUE"""),"Access and sampling in the Mar Piccolo of Taranto, Ionian Sea transitional site (sampling of water, sediment, phyto, zooplankton, benthos) on the boat Gerax-Vorax")</f>
        <v>Access and sampling in the Mar Piccolo of Taranto, Ionian Sea transitional site (sampling of water, sediment, phyto, zooplankton, benthos) on the boat Gerax-Vorax</v>
      </c>
      <c r="E35" s="2" t="str">
        <f ca="1">IFERROR(__xludf.DUMMYFUNCTION("""COMPUTED_VALUE"""),"on-site")</f>
        <v>on-site</v>
      </c>
      <c r="F35" s="2" t="str">
        <f ca="1">IFERROR(__xludf.DUMMYFUNCTION("""COMPUTED_VALUE"""),"available")</f>
        <v>available</v>
      </c>
      <c r="G35" s="2" t="str">
        <f ca="1">IFERROR(__xludf.DUMMYFUNCTION("""COMPUTED_VALUE"""),"7 m outboard boat equipped for diving support and light sampling. Support to diving and sampling (Niskin bottle, light Van Veen Bucket, plankton nets, dredge for benthos collection) is also available.")</f>
        <v>7 m outboard boat equipped for diving support and light sampling. Support to diving and sampling (Niskin bottle, light Van Veen Bucket, plankton nets, dredge for benthos collection) is also available.</v>
      </c>
      <c r="H35" s="2" t="str">
        <f ca="1">IFERROR(__xludf.DUMMYFUNCTION("""COMPUTED_VALUE"""),"Marine sampling, Ionian Sea, Plankton, benthos, sampling, Divers, scuba gear")</f>
        <v>Marine sampling, Ionian Sea, Plankton, benthos, sampling, Divers, scuba gear</v>
      </c>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row r="998" spans="1:12" x14ac:dyDescent="0.2">
      <c r="A998" s="2"/>
      <c r="B998" s="2"/>
      <c r="C998" s="2"/>
      <c r="D998" s="2"/>
      <c r="E998" s="2"/>
      <c r="F998" s="2"/>
      <c r="G998" s="2"/>
      <c r="H998" s="2"/>
      <c r="I998" s="2"/>
      <c r="J998" s="2"/>
      <c r="K998" s="2"/>
      <c r="L998" s="2"/>
    </row>
    <row r="999" spans="1:12" x14ac:dyDescent="0.2">
      <c r="A999" s="2"/>
      <c r="B999" s="2"/>
      <c r="C999" s="2"/>
      <c r="D999" s="2"/>
      <c r="E999" s="2"/>
      <c r="F999" s="2"/>
      <c r="G999" s="2"/>
      <c r="H999" s="2"/>
      <c r="I999" s="2"/>
      <c r="J999" s="2"/>
      <c r="K999" s="2"/>
      <c r="L999"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000"/>
  <sheetViews>
    <sheetView workbookViewId="0">
      <pane ySplit="1" topLeftCell="A2" activePane="bottomLeft" state="frozen"/>
      <selection pane="bottomLeft" activeCell="B3" sqref="B3"/>
    </sheetView>
  </sheetViews>
  <sheetFormatPr defaultColWidth="12.5703125" defaultRowHeight="15.75" customHeight="1" x14ac:dyDescent="0.2"/>
  <cols>
    <col min="1" max="1" width="26.140625" customWidth="1"/>
  </cols>
  <sheetData>
    <row r="1" spans="1:26" x14ac:dyDescent="0.2">
      <c r="A1" s="7" t="str">
        <f ca="1">IFERROR(__xludf.DUMMYFUNCTION("IMPORTRANGE(""https://docs.google.com/spreadsheets/d/1tVSaIF9INhcYh9KWWA1ld61w_Wgj9znLxWtS_61_OqA/edit#gid=1046724172"", ""CONISMA_all!A1:L"")"),"site")</f>
        <v>site</v>
      </c>
      <c r="B1" s="1" t="str">
        <f ca="1">IFERROR(__xludf.DUMMYFUNCTION("""COMPUTED_VALUE"""),"category")</f>
        <v>category</v>
      </c>
      <c r="C1" s="1" t="str">
        <f ca="1">IFERROR(__xludf.DUMMYFUNCTION("""COMPUTED_VALUE"""),"subcategory")</f>
        <v>subcategory</v>
      </c>
      <c r="D1" s="1" t="str">
        <f ca="1">IFERROR(__xludf.DUMMYFUNCTION("""COMPUTED_VALUE"""),"description of the service")</f>
        <v>description of the service</v>
      </c>
      <c r="E1" s="1" t="str">
        <f ca="1">IFERROR(__xludf.DUMMYFUNCTION("""COMPUTED_VALUE"""),"access type")</f>
        <v>access type</v>
      </c>
      <c r="F1" s="1" t="str">
        <f ca="1">IFERROR(__xludf.DUMMYFUNCTION("""COMPUTED_VALUE"""),"status")</f>
        <v>status</v>
      </c>
      <c r="G1" s="1" t="str">
        <f ca="1">IFERROR(__xludf.DUMMYFUNCTION("""COMPUTED_VALUE"""),"contextual information or expertise associated to the service")</f>
        <v>contextual information or expertise associated to the service</v>
      </c>
      <c r="H1" s="1" t="str">
        <f ca="1">IFERROR(__xludf.DUMMYFUNCTION("""COMPUTED_VALUE"""),"keywords of the service")</f>
        <v>keywords of the service</v>
      </c>
      <c r="I1" s="1" t="str">
        <f ca="1">IFERROR(__xludf.DUMMYFUNCTION("""COMPUTED_VALUE"""),"platform name")</f>
        <v>platform name</v>
      </c>
      <c r="J1" s="1" t="str">
        <f ca="1">IFERROR(__xludf.DUMMYFUNCTION("""COMPUTED_VALUE"""),"Note di Giorgio")</f>
        <v>Note di Giorgio</v>
      </c>
      <c r="K1" s="1"/>
      <c r="L1" s="1"/>
      <c r="M1" s="1"/>
      <c r="N1" s="1"/>
      <c r="O1" s="1"/>
      <c r="P1" s="1"/>
      <c r="Q1" s="1"/>
      <c r="R1" s="1"/>
      <c r="S1" s="1"/>
      <c r="T1" s="1"/>
      <c r="U1" s="1"/>
      <c r="V1" s="1"/>
      <c r="W1" s="1"/>
      <c r="X1" s="1"/>
      <c r="Y1" s="1"/>
      <c r="Z1" s="1"/>
    </row>
    <row r="2" spans="1:26" x14ac:dyDescent="0.2">
      <c r="A2" s="2" t="str">
        <f ca="1">IFERROR(__xludf.DUMMYFUNCTION("""COMPUTED_VALUE"""),"CONISMA-UNICAM")</f>
        <v>CONISMA-UNICAM</v>
      </c>
      <c r="B2" s="2" t="str">
        <f ca="1">IFERROR(__xludf.DUMMYFUNCTION("""COMPUTED_VALUE"""),"Biological resources")</f>
        <v>Biological resources</v>
      </c>
      <c r="C2" s="2" t="str">
        <f ca="1">IFERROR(__xludf.DUMMYFUNCTION("""COMPUTED_VALUE"""),"Rearing of aquaculture animals")</f>
        <v>Rearing of aquaculture animals</v>
      </c>
      <c r="D2" s="2" t="str">
        <f ca="1">IFERROR(__xludf.DUMMYFUNCTION("""COMPUTED_VALUE"""),"Rearing facilities for fish and macroinvertebrates, aquaculture facilities and support to fish rearing (e.g., neuroendocrine control of fish reproduction , welfare of farmed fish , food quality safety of fishery production)")</f>
        <v>Rearing facilities for fish and macroinvertebrates, aquaculture facilities and support to fish rearing (e.g., neuroendocrine control of fish reproduction , welfare of farmed fish , food quality safety of fishery production)</v>
      </c>
      <c r="E2" s="2" t="str">
        <f ca="1">IFERROR(__xludf.DUMMYFUNCTION("""COMPUTED_VALUE"""),"on-site and remote")</f>
        <v>on-site and remote</v>
      </c>
      <c r="F2" s="2" t="str">
        <f ca="1">IFERROR(__xludf.DUMMYFUNCTION("""COMPUTED_VALUE"""),"available")</f>
        <v>available</v>
      </c>
      <c r="G2" s="2" t="str">
        <f ca="1">IFERROR(__xludf.DUMMYFUNCTION("""COMPUTED_VALUE"""),"Fish species that can be farmed are the gilthead sea bream (Sparus aurata), the grey mullet (Mugil cephalus), the rainbow trout (Oncorhynchus mykiss), the goldfish (Carassius auratus), the mediterranean mussel (Mytilus galloprovincialis), the European fla"&amp;"t oyster (Ostrea edulis) and the marine gastropod (Tritia mutabilis).")</f>
        <v>Fish species that can be farmed are the gilthead sea bream (Sparus aurata), the grey mullet (Mugil cephalus), the rainbow trout (Oncorhynchus mykiss), the goldfish (Carassius auratus), the mediterranean mussel (Mytilus galloprovincialis), the European flat oyster (Ostrea edulis) and the marine gastropod (Tritia mutabilis).</v>
      </c>
      <c r="H2" s="2" t="str">
        <f ca="1">IFERROR(__xludf.DUMMYFUNCTION("""COMPUTED_VALUE"""),"aquaculture, fish welfare, fish food quality control")</f>
        <v>aquaculture, fish welfare, fish food quality control</v>
      </c>
      <c r="I2" s="2"/>
      <c r="J2" s="2"/>
      <c r="K2" s="2"/>
      <c r="L2" s="2"/>
    </row>
    <row r="3" spans="1:26" x14ac:dyDescent="0.2">
      <c r="A3" s="2" t="str">
        <f ca="1">IFERROR(__xludf.DUMMYFUNCTION("""COMPUTED_VALUE"""),"CONISMA-UNICAM")</f>
        <v>CONISMA-UNICAM</v>
      </c>
      <c r="B3" s="2" t="str">
        <f ca="1">IFERROR(__xludf.DUMMYFUNCTION("""COMPUTED_VALUE"""),"Ecosystem access")</f>
        <v>Ecosystem access</v>
      </c>
      <c r="C3" s="2" t="str">
        <f ca="1">IFERROR(__xludf.DUMMYFUNCTION("""COMPUTED_VALUE"""),"Coastal research vessels")</f>
        <v>Coastal research vessels</v>
      </c>
      <c r="D3" s="2" t="str">
        <f ca="1">IFERROR(__xludf.DUMMYFUNCTION("""COMPUTED_VALUE"""),"Access to marine ecosystems Costa del Piceno S. Nicola a Mare SIC and Riserva Naturale Regionale Sentina (Intertidal sandy habitat, Subtidal rocky / hard habitat, Subtidal soft bottom, Coastal dunes)")</f>
        <v>Access to marine ecosystems Costa del Piceno S. Nicola a Mare SIC and Riserva Naturale Regionale Sentina (Intertidal sandy habitat, Subtidal rocky / hard habitat, Subtidal soft bottom, Coastal dunes)</v>
      </c>
      <c r="E3" s="2" t="str">
        <f ca="1">IFERROR(__xludf.DUMMYFUNCTION("""COMPUTED_VALUE"""),"on-site")</f>
        <v>on-site</v>
      </c>
      <c r="F3" s="2" t="str">
        <f ca="1">IFERROR(__xludf.DUMMYFUNCTION("""COMPUTED_VALUE"""),"available")</f>
        <v>available</v>
      </c>
      <c r="G3" s="2" t="str">
        <f ca="1">IFERROR(__xludf.DUMMYFUNCTION("""COMPUTED_VALUE"""),"Diving professionals support is available. Sample processing is available on request: dissecting microscopes, steromicroscopes, scales, -80 and - 20 freezer; coastal/dunal vegetation and marine macrofauna taxonomic identification; climate controlled room "&amp;"with experimental running seawater tanks for maintenance and experiments on marine organisms; sample analysis using UV-VIS spectrophotometry, GC-chromatography, HPLC analysis with UV-VIS and fluorescence detection, HPLC MS/MS; basic and advances molecular"&amp;" biology lab; qPCR; iSEQ 100 Illumina benchtop sequencer.")</f>
        <v>Diving professionals support is available. Sample processing is available on request: dissecting microscopes, steromicroscopes, scales, -80 and - 20 freezer; coastal/dunal vegetation and marine macrofauna taxonomic identification; climate controlled room with experimental running seawater tanks for maintenance and experiments on marine organisms; sample analysis using UV-VIS spectrophotometry, GC-chromatography, HPLC analysis with UV-VIS and fluorescence detection, HPLC MS/MS; basic and advances molecular biology lab; qPCR; iSEQ 100 Illumina benchtop sequencer.</v>
      </c>
      <c r="H3" s="2" t="str">
        <f ca="1">IFERROR(__xludf.DUMMYFUNCTION("""COMPUTED_VALUE"""),". Benthos, fish, fauna, Adriatic, model organisms, sandy habitat, rocky habitat, subtidal soft bottom, coastal dunes")</f>
        <v>. Benthos, fish, fauna, Adriatic, model organisms, sandy habitat, rocky habitat, subtidal soft bottom, coastal dunes</v>
      </c>
      <c r="I3" s="2"/>
      <c r="J3" s="2"/>
      <c r="K3" s="2"/>
      <c r="L3" s="2"/>
    </row>
    <row r="4" spans="1:26" x14ac:dyDescent="0.2">
      <c r="A4" s="2" t="str">
        <f ca="1">IFERROR(__xludf.DUMMYFUNCTION("""COMPUTED_VALUE"""),"CONISMA-UNICAM")</f>
        <v>CONISMA-UNICAM</v>
      </c>
      <c r="B4" s="2" t="str">
        <f ca="1">IFERROR(__xludf.DUMMYFUNCTION("""COMPUTED_VALUE"""),"E-services")</f>
        <v>E-services</v>
      </c>
      <c r="C4" s="2" t="str">
        <f ca="1">IFERROR(__xludf.DUMMYFUNCTION("""COMPUTED_VALUE"""),"Data sets")</f>
        <v>Data sets</v>
      </c>
      <c r="D4" s="2" t="str">
        <f ca="1">IFERROR(__xludf.DUMMYFUNCTION("""COMPUTED_VALUE"""),"Access to database of ecological data measured at the Riserva Naturale Regionale Sentina from 2014, SIC Grottammare from 2014")</f>
        <v>Access to database of ecological data measured at the Riserva Naturale Regionale Sentina from 2014, SIC Grottammare from 2014</v>
      </c>
      <c r="E4" s="2" t="str">
        <f ca="1">IFERROR(__xludf.DUMMYFUNCTION("""COMPUTED_VALUE"""),"remote")</f>
        <v>remote</v>
      </c>
      <c r="F4" s="2" t="str">
        <f ca="1">IFERROR(__xludf.DUMMYFUNCTION("""COMPUTED_VALUE"""),"available")</f>
        <v>available</v>
      </c>
      <c r="G4" s="2"/>
      <c r="H4" s="2"/>
      <c r="I4" s="2"/>
      <c r="J4" s="2"/>
      <c r="K4" s="2"/>
      <c r="L4" s="2"/>
    </row>
    <row r="5" spans="1:26" x14ac:dyDescent="0.2">
      <c r="A5" s="2" t="str">
        <f ca="1">IFERROR(__xludf.DUMMYFUNCTION("""COMPUTED_VALUE"""),"CONISMA-UNICAM")</f>
        <v>CONISMA-UNICAM</v>
      </c>
      <c r="B5" s="2" t="str">
        <f ca="1">IFERROR(__xludf.DUMMYFUNCTION("""COMPUTED_VALUE"""),"Technology platforms")</f>
        <v>Technology platforms</v>
      </c>
      <c r="C5" s="2" t="str">
        <f ca="1">IFERROR(__xludf.DUMMYFUNCTION("""COMPUTED_VALUE"""),"Bioassays")</f>
        <v>Bioassays</v>
      </c>
      <c r="D5" s="2" t="str">
        <f ca="1">IFERROR(__xludf.DUMMYFUNCTION("""COMPUTED_VALUE"""),"Access to toxicogenomics platform on fish cellular models (including E-Screen, YES and YAS assay, biosensors platform “On-surface” binding studies using a biosensor-based approach for detecting environmental contaminants in real matrices)")</f>
        <v>Access to toxicogenomics platform on fish cellular models (including E-Screen, YES and YAS assay, biosensors platform “On-surface” binding studies using a biosensor-based approach for detecting environmental contaminants in real matrices)</v>
      </c>
      <c r="E5" s="2" t="str">
        <f ca="1">IFERROR(__xludf.DUMMYFUNCTION("""COMPUTED_VALUE"""),"on-site and remote")</f>
        <v>on-site and remote</v>
      </c>
      <c r="F5" s="2" t="str">
        <f ca="1">IFERROR(__xludf.DUMMYFUNCTION("""COMPUTED_VALUE"""),"available")</f>
        <v>available</v>
      </c>
      <c r="G5" s="2" t="str">
        <f ca="1">IFERROR(__xludf.DUMMYFUNCTION("""COMPUTED_VALUE"""),"Vitellogenin assay on ELISA; E-Screen assay, YES/YAS assay; ; biosensors platform “On-surface”, bioanalytical methods to detect environmental contaminants in real matrices, binding studies using a biosensor-based approach for measuring environmental conta"&amp;"minants effects on biological targets.")</f>
        <v>Vitellogenin assay on ELISA; E-Screen assay, YES/YAS assay; ; biosensors platform “On-surface”, bioanalytical methods to detect environmental contaminants in real matrices, binding studies using a biosensor-based approach for measuring environmental contaminants effects on biological targets.</v>
      </c>
      <c r="H5" s="2" t="str">
        <f ca="1">IFERROR(__xludf.DUMMYFUNCTION("""COMPUTED_VALUE"""),". ecotoxicology; endocrine disrupting chemicals; biosensors; ELISA; Cell")</f>
        <v>. ecotoxicology; endocrine disrupting chemicals; biosensors; ELISA; Cell</v>
      </c>
      <c r="I5" s="2"/>
      <c r="J5" s="2"/>
      <c r="K5" s="2"/>
      <c r="L5" s="2"/>
    </row>
    <row r="6" spans="1:26" x14ac:dyDescent="0.2">
      <c r="A6" s="2" t="str">
        <f ca="1">IFERROR(__xludf.DUMMYFUNCTION("""COMPUTED_VALUE"""),"CONISMA-UNICAM")</f>
        <v>CONISMA-UNICAM</v>
      </c>
      <c r="B6" s="2" t="str">
        <f ca="1">IFERROR(__xludf.DUMMYFUNCTION("""COMPUTED_VALUE"""),"Technology platforms")</f>
        <v>Technology platforms</v>
      </c>
      <c r="C6" s="2" t="str">
        <f ca="1">IFERROR(__xludf.DUMMYFUNCTION("""COMPUTED_VALUE"""),"Remote sensing and telemetry")</f>
        <v>Remote sensing and telemetry</v>
      </c>
      <c r="D6" s="2" t="str">
        <f ca="1">IFERROR(__xludf.DUMMYFUNCTION("""COMPUTED_VALUE"""),"Access to remote sensing equipment (including: multiparametric probe; mantra trap for microplastic collection; GIS and telemetry. Environmental data acquisition systems ; sediment analysis ; bathymetric surveys and side scan sonar)")</f>
        <v>Access to remote sensing equipment (including: multiparametric probe; mantra trap for microplastic collection; GIS and telemetry. Environmental data acquisition systems ; sediment analysis ; bathymetric surveys and side scan sonar)</v>
      </c>
      <c r="E6" s="2" t="str">
        <f ca="1">IFERROR(__xludf.DUMMYFUNCTION("""COMPUTED_VALUE"""),"on-site")</f>
        <v>on-site</v>
      </c>
      <c r="F6" s="2" t="str">
        <f ca="1">IFERROR(__xludf.DUMMYFUNCTION("""COMPUTED_VALUE"""),"available")</f>
        <v>available</v>
      </c>
      <c r="G6" s="2" t="str">
        <f ca="1">IFERROR(__xludf.DUMMYFUNCTION("""COMPUTED_VALUE"""),"The service is based on the use of geographic information systems (ArcMap or QGIS) and in this perspective, various spatial and spatio-temporal analysis can be performed. Carrying out surveys (also georeferenced) of fauna and flora of coastal areas. Mantr"&amp;"a trap, multiparametric analysis available.")</f>
        <v>The service is based on the use of geographic information systems (ArcMap or QGIS) and in this perspective, various spatial and spatio-temporal analysis can be performed. Carrying out surveys (also georeferenced) of fauna and flora of coastal areas. Mantra trap, multiparametric analysis available.</v>
      </c>
      <c r="H6" s="2" t="str">
        <f ca="1">IFERROR(__xludf.DUMMYFUNCTION("""COMPUTED_VALUE"""),"biosensors; GIS; cartography, spatial analysis; georeferenced; temporal analyses")</f>
        <v>biosensors; GIS; cartography, spatial analysis; georeferenced; temporal analyses</v>
      </c>
      <c r="I6" s="2"/>
      <c r="J6" s="2"/>
      <c r="K6" s="2"/>
      <c r="L6" s="2"/>
    </row>
    <row r="7" spans="1:26" x14ac:dyDescent="0.2">
      <c r="A7" s="2" t="str">
        <f ca="1">IFERROR(__xludf.DUMMYFUNCTION("""COMPUTED_VALUE"""),"CONISMA-UNIPD")</f>
        <v>CONISMA-UNIPD</v>
      </c>
      <c r="B7" s="2" t="str">
        <f ca="1">IFERROR(__xludf.DUMMYFUNCTION("""COMPUTED_VALUE"""),"Supporting facilities")</f>
        <v>Supporting facilities</v>
      </c>
      <c r="C7" s="2" t="str">
        <f ca="1">IFERROR(__xludf.DUMMYFUNCTION("""COMPUTED_VALUE"""),"In-house lodging")</f>
        <v>In-house lodging</v>
      </c>
      <c r="D7" s="2" t="str">
        <f ca="1">IFERROR(__xludf.DUMMYFUNCTION("""COMPUTED_VALUE"""),"Hosting of visiting groups/scientists (forthcoming). Access to in-house lodging at Chioggia Marine station")</f>
        <v>Hosting of visiting groups/scientists (forthcoming). Access to in-house lodging at Chioggia Marine station</v>
      </c>
      <c r="E7" s="2" t="str">
        <f ca="1">IFERROR(__xludf.DUMMYFUNCTION("""COMPUTED_VALUE"""),"on-site")</f>
        <v>on-site</v>
      </c>
      <c r="F7" s="2" t="str">
        <f ca="1">IFERROR(__xludf.DUMMYFUNCTION("""COMPUTED_VALUE"""),"not available")</f>
        <v>not available</v>
      </c>
      <c r="G7" s="2" t="str">
        <f ca="1">IFERROR(__xludf.DUMMYFUNCTION("""COMPUTED_VALUE"""),"Bed in shared room, shared bathroom, common kitchen and dining room.")</f>
        <v>Bed in shared room, shared bathroom, common kitchen and dining room.</v>
      </c>
      <c r="H7" s="2" t="str">
        <f ca="1">IFERROR(__xludf.DUMMYFUNCTION("""COMPUTED_VALUE"""),"guesthouse; room; accomodation; bed; sweet dreams")</f>
        <v>guesthouse; room; accomodation; bed; sweet dreams</v>
      </c>
      <c r="I7" s="2" t="str">
        <f ca="1">IFERROR(__xludf.DUMMYFUNCTION("""COMPUTED_VALUE"""),"Chioggia Marine Station")</f>
        <v>Chioggia Marine Station</v>
      </c>
      <c r="J7" s="2"/>
      <c r="K7" s="2"/>
      <c r="L7" s="2"/>
    </row>
    <row r="8" spans="1:26" x14ac:dyDescent="0.2">
      <c r="A8" s="2" t="str">
        <f ca="1">IFERROR(__xludf.DUMMYFUNCTION("""COMPUTED_VALUE"""),"CONISMA-UNIPD")</f>
        <v>CONISMA-UNIPD</v>
      </c>
      <c r="B8" s="2" t="str">
        <f ca="1">IFERROR(__xludf.DUMMYFUNCTION("""COMPUTED_VALUE"""),"Biological resources")</f>
        <v>Biological resources</v>
      </c>
      <c r="C8" s="2" t="str">
        <f ca="1">IFERROR(__xludf.DUMMYFUNCTION("""COMPUTED_VALUE"""),"Organisms collected in the wild")</f>
        <v>Organisms collected in the wild</v>
      </c>
      <c r="D8" s="2" t="str">
        <f ca="1">IFERROR(__xludf.DUMMYFUNCTION("""COMPUTED_VALUE"""),"Provision of species from the Venice lagoon and North-Western Adriatic Sea by scuba divers sampling")</f>
        <v>Provision of species from the Venice lagoon and North-Western Adriatic Sea by scuba divers sampling</v>
      </c>
      <c r="E8" s="2" t="str">
        <f ca="1">IFERROR(__xludf.DUMMYFUNCTION("""COMPUTED_VALUE"""),"on-site and remote")</f>
        <v>on-site and remote</v>
      </c>
      <c r="F8" s="2" t="str">
        <f ca="1">IFERROR(__xludf.DUMMYFUNCTION("""COMPUTED_VALUE"""),"available")</f>
        <v>available</v>
      </c>
      <c r="G8" s="2" t="str">
        <f ca="1">IFERROR(__xludf.DUMMYFUNCTION("""COMPUTED_VALUE"""),"Collection of live samples for experimentation/shipment: Adriatic and lagoon species of planktonic microalgae, Seaweeds, Copepods, Benthic macrofauna of soft bottom, Benthic macrofauna of hard (artificial) bottom, Teleosts, Elasmobranchs. 10 x 70 L, 10 x "&amp;"60 L, 10 x 25 L climate controlled aquaria for sample preservation are available on request.")</f>
        <v>Collection of live samples for experimentation/shipment: Adriatic and lagoon species of planktonic microalgae, Seaweeds, Copepods, Benthic macrofauna of soft bottom, Benthic macrofauna of hard (artificial) bottom, Teleosts, Elasmobranchs. 10 x 70 L, 10 x 60 L, 10 x 25 L climate controlled aquaria for sample preservation are available on request.</v>
      </c>
      <c r="H8" s="2" t="str">
        <f ca="1">IFERROR(__xludf.DUMMYFUNCTION("""COMPUTED_VALUE"""),"Plankton;  benthos; fish, live organisms; shipment; Ciona; Paracentrotus; cephalopods; seasquirt; sea urchin")</f>
        <v>Plankton;  benthos; fish, live organisms; shipment; Ciona; Paracentrotus; cephalopods; seasquirt; sea urchin</v>
      </c>
      <c r="I8" s="2" t="str">
        <f ca="1">IFERROR(__xludf.DUMMYFUNCTION("""COMPUTED_VALUE"""),"Chioggia Marine Station")</f>
        <v>Chioggia Marine Station</v>
      </c>
      <c r="J8" s="2" t="str">
        <f ca="1">IFERROR(__xludf.DUMMYFUNCTION("""COMPUTED_VALUE"""),"NOT COSTED")</f>
        <v>NOT COSTED</v>
      </c>
      <c r="K8" s="2"/>
      <c r="L8" s="2"/>
    </row>
    <row r="9" spans="1:26" x14ac:dyDescent="0.2">
      <c r="A9" s="2" t="str">
        <f ca="1">IFERROR(__xludf.DUMMYFUNCTION("""COMPUTED_VALUE"""),"CONISMA-UNIPD")</f>
        <v>CONISMA-UNIPD</v>
      </c>
      <c r="B9" s="2" t="str">
        <f ca="1">IFERROR(__xludf.DUMMYFUNCTION("""COMPUTED_VALUE"""),"Ecosystem access")</f>
        <v>Ecosystem access</v>
      </c>
      <c r="C9" s="2" t="str">
        <f ca="1">IFERROR(__xludf.DUMMYFUNCTION("""COMPUTED_VALUE"""),"Coastal research vessels")</f>
        <v>Coastal research vessels</v>
      </c>
      <c r="D9" s="2" t="str">
        <f ca="1">IFERROR(__xludf.DUMMYFUNCTION("""COMPUTED_VALUE"""),"Access to the Venice lagoon, North-Western Adriatic shores, MOSE platform in the port of Chioggia (2 motorboats) with equipment for sampling and sample study")</f>
        <v>Access to the Venice lagoon, North-Western Adriatic shores, MOSE platform in the port of Chioggia (2 motorboats) with equipment for sampling and sample study</v>
      </c>
      <c r="E9" s="2" t="str">
        <f ca="1">IFERROR(__xludf.DUMMYFUNCTION("""COMPUTED_VALUE"""),"on-site")</f>
        <v>on-site</v>
      </c>
      <c r="F9" s="2" t="str">
        <f ca="1">IFERROR(__xludf.DUMMYFUNCTION("""COMPUTED_VALUE"""),"not available")</f>
        <v>not available</v>
      </c>
      <c r="G9" s="2" t="str">
        <f ca="1">IFERROR(__xludf.DUMMYFUNCTION("""COMPUTED_VALUE"""),"Provision of boat and gears for sampling of different organisms from water column to the bottom, gears for underwater observations and sampling. Available sampling equipment is: Underwater PAM/IIR Walz, underwater cameras and digital camcorder, diving equ"&amp;"ipment, DGPS (Differential GPS), rangefinder, box corer, van Veen grab, manual corers, CTD data loggers, pH-meters, refractometers, conductivity meters, oxymeters), underwater drone, portable single-beam and side scan sonarCollected samples can be manipul"&amp;"ated in fully equipped Benthic Lab (coulter counter, multisizer, CHNS / O, spectrophotometer, microscopes, image analysers, ovens, muffle, sieves column, filtering systems, balances). Available microscopes for sample observation are: LEICA DMLB Light Micr"&amp;"oscope, LEICA MZ95 Dissecting microscope, LEICA DFC420 Videocamera connected to microscope and dissecting microscope. Contextual basic molecular biology services (Thermal cyclers, microcentrifuge,spectrophotometric system for DNA quantification, DNA elect"&amp;"rophoresis system) can also be provided. ")</f>
        <v xml:space="preserve">Provision of boat and gears for sampling of different organisms from water column to the bottom, gears for underwater observations and sampling. Available sampling equipment is: Underwater PAM/IIR Walz, underwater cameras and digital camcorder, diving equipment, DGPS (Differential GPS), rangefinder, box corer, van Veen grab, manual corers, CTD data loggers, pH-meters, refractometers, conductivity meters, oxymeters), underwater drone, portable single-beam and side scan sonarCollected samples can be manipulated in fully equipped Benthic Lab (coulter counter, multisizer, CHNS / O, spectrophotometer, microscopes, image analysers, ovens, muffle, sieves column, filtering systems, balances). Available microscopes for sample observation are: LEICA DMLB Light Microscope, LEICA MZ95 Dissecting microscope, LEICA DFC420 Videocamera connected to microscope and dissecting microscope. Contextual basic molecular biology services (Thermal cyclers, microcentrifuge,spectrophotometric system for DNA quantification, DNA electrophoresis system) can also be provided. </v>
      </c>
      <c r="H9" s="2" t="str">
        <f ca="1">IFERROR(__xludf.DUMMYFUNCTION("""COMPUTED_VALUE"""),"MOSE, Venice lagoon, lagoon ecosystem. field sampling; SCUBA; boat; lagoon; coastal sampling; Plankton;  benthic lab")</f>
        <v>MOSE, Venice lagoon, lagoon ecosystem. field sampling; SCUBA; boat; lagoon; coastal sampling; Plankton;  benthic lab</v>
      </c>
      <c r="I9" s="2" t="str">
        <f ca="1">IFERROR(__xludf.DUMMYFUNCTION("""COMPUTED_VALUE"""),"Chioggia Marine Station")</f>
        <v>Chioggia Marine Station</v>
      </c>
      <c r="J9" s="2"/>
      <c r="K9" s="2"/>
      <c r="L9" s="2"/>
    </row>
    <row r="10" spans="1:26" x14ac:dyDescent="0.2">
      <c r="A10" s="2" t="str">
        <f ca="1">IFERROR(__xludf.DUMMYFUNCTION("""COMPUTED_VALUE"""),"CONISMA-UNIPD")</f>
        <v>CONISMA-UNIPD</v>
      </c>
      <c r="B10" s="2" t="str">
        <f ca="1">IFERROR(__xludf.DUMMYFUNCTION("""COMPUTED_VALUE"""),"E-services")</f>
        <v>E-services</v>
      </c>
      <c r="C10" s="2" t="str">
        <f ca="1">IFERROR(__xludf.DUMMYFUNCTION("""COMPUTED_VALUE"""),"Data sets")</f>
        <v>Data sets</v>
      </c>
      <c r="D10" s="2" t="str">
        <f ca="1">IFERROR(__xludf.DUMMYFUNCTION("""COMPUTED_VALUE"""),"Database on landings from Chioggia Fishing Fleets 1945 - present, dataset of physical water parameters in the Venice lagoon (1973-present)")</f>
        <v>Database on landings from Chioggia Fishing Fleets 1945 - present, dataset of physical water parameters in the Venice lagoon (1973-present)</v>
      </c>
      <c r="E10" s="2" t="str">
        <f ca="1">IFERROR(__xludf.DUMMYFUNCTION("""COMPUTED_VALUE"""),"remote")</f>
        <v>remote</v>
      </c>
      <c r="F10" s="2" t="str">
        <f ca="1">IFERROR(__xludf.DUMMYFUNCTION("""COMPUTED_VALUE"""),"not available")</f>
        <v>not available</v>
      </c>
      <c r="G10" s="2" t="str">
        <f ca="1">IFERROR(__xludf.DUMMYFUNCTION("""COMPUTED_VALUE"""),"The database includes monthly local landings per species/group of species of the fish market of Chioggia, from 1945 to present, data are yearly updated. Characteristics of the fishing fleet, on a monthly base, from 1991 to present, data are yearly updated"&amp;". Database of records of rare, protected or alien species.")</f>
        <v>The database includes monthly local landings per species/group of species of the fish market of Chioggia, from 1945 to present, data are yearly updated. Characteristics of the fishing fleet, on a monthly base, from 1991 to present, data are yearly updated. Database of records of rare, protected or alien species.</v>
      </c>
      <c r="H10" s="2" t="str">
        <f ca="1">IFERROR(__xludf.DUMMYFUNCTION("""COMPUTED_VALUE"""),"Dataset, water parameters, landing. CPUE; landings; alien species; data, LTER")</f>
        <v>Dataset, water parameters, landing. CPUE; landings; alien species; data, LTER</v>
      </c>
      <c r="I10" s="2"/>
      <c r="J10" s="2"/>
      <c r="K10" s="2"/>
      <c r="L10" s="2"/>
    </row>
    <row r="11" spans="1:26" x14ac:dyDescent="0.2">
      <c r="A11" s="2" t="str">
        <f ca="1">IFERROR(__xludf.DUMMYFUNCTION("""COMPUTED_VALUE"""),"CONISMA-UNIURB")</f>
        <v>CONISMA-UNIURB</v>
      </c>
      <c r="B11" s="2" t="str">
        <f ca="1">IFERROR(__xludf.DUMMYFUNCTION("""COMPUTED_VALUE"""),"Ecosystem access")</f>
        <v>Ecosystem access</v>
      </c>
      <c r="C11" s="2" t="str">
        <f ca="1">IFERROR(__xludf.DUMMYFUNCTION("""COMPUTED_VALUE"""),"Coastal research vessels")</f>
        <v>Coastal research vessels</v>
      </c>
      <c r="D11" s="2" t="str">
        <f ca="1">IFERROR(__xludf.DUMMYFUNCTION("""COMPUTED_VALUE"""),"Coastal research vessel ""Athena"" used for ecosystem access to NW Adriatic Sea for plankton sampling and SCUBA activities Access to NW Adriatic Sea for sampling and diving.")</f>
        <v>Coastal research vessel "Athena" used for ecosystem access to NW Adriatic Sea for plankton sampling and SCUBA activities Access to NW Adriatic Sea for sampling and diving.</v>
      </c>
      <c r="E11" s="2" t="str">
        <f ca="1">IFERROR(__xludf.DUMMYFUNCTION("""COMPUTED_VALUE"""),"on-site")</f>
        <v>on-site</v>
      </c>
      <c r="F11" s="2" t="str">
        <f ca="1">IFERROR(__xludf.DUMMYFUNCTION("""COMPUTED_VALUE"""),"not available")</f>
        <v>not available</v>
      </c>
      <c r="G11" s="2" t="str">
        <f ca="1">IFERROR(__xludf.DUMMYFUNCTION("""COMPUTED_VALUE"""),"Vessel Specifics: max 6 nautical miles offshore, 24 nm per day , 30 m depth , sandy bottom using the Research vessel Athena (6.62 ton, Engine power : 2 x 130.5 HP, Cruise speed : 15 kn, Max people crew included: 6). Pesaro Porto sampling equipments: multi"&amp;"parametric probes (IDRONAUT ocean7 316) with 50m cable; phytoplankton nets; water filtration systems; support to scientific scuba diving, underwater towed video camera. Support to scientific SCUBA diving Current meter (IDROMAR SENSORDATA SD 4), Van Veen g"&amp;"rab (25 L), Box corer (WxL: 9x16 cm, H: 24 cm). Contextual taxonomic identification available.")</f>
        <v>Vessel Specifics: max 6 nautical miles offshore, 24 nm per day , 30 m depth , sandy bottom using the Research vessel Athena (6.62 ton, Engine power : 2 x 130.5 HP, Cruise speed : 15 kn, Max people crew included: 6). Pesaro Porto sampling equipments: multiparametric probes (IDRONAUT ocean7 316) with 50m cable; phytoplankton nets; water filtration systems; support to scientific scuba diving, underwater towed video camera. Support to scientific SCUBA diving Current meter (IDROMAR SENSORDATA SD 4), Van Veen grab (25 L), Box corer (WxL: 9x16 cm, H: 24 cm). Contextual taxonomic identification available.</v>
      </c>
      <c r="H11" s="2" t="str">
        <f ca="1">IFERROR(__xludf.DUMMYFUNCTION("""COMPUTED_VALUE"""),"phytoplankton sampling; soft bottom; SCUBA; vessel")</f>
        <v>phytoplankton sampling; soft bottom; SCUBA; vessel</v>
      </c>
      <c r="I11" s="2"/>
      <c r="J11" s="2" t="str">
        <f ca="1">IFERROR(__xludf.DUMMYFUNCTION("""COMPUTED_VALUE"""),"NOT COSTED")</f>
        <v>NOT COSTED</v>
      </c>
      <c r="K11" s="2"/>
      <c r="L11" s="2"/>
    </row>
    <row r="12" spans="1:26" x14ac:dyDescent="0.2">
      <c r="A12" s="2" t="str">
        <f ca="1">IFERROR(__xludf.DUMMYFUNCTION("""COMPUTED_VALUE"""),"CONISMA-POLIBA")</f>
        <v>CONISMA-POLIBA</v>
      </c>
      <c r="B12" s="2" t="str">
        <f ca="1">IFERROR(__xludf.DUMMYFUNCTION("""COMPUTED_VALUE"""),"Ecosystem access")</f>
        <v>Ecosystem access</v>
      </c>
      <c r="C12" s="2" t="str">
        <f ca="1">IFERROR(__xludf.DUMMYFUNCTION("""COMPUTED_VALUE"""),"Coastal research vessels")</f>
        <v>Coastal research vessels</v>
      </c>
      <c r="D12" s="2" t="str">
        <f ca="1">IFERROR(__xludf.DUMMYFUNCTION("""COMPUTED_VALUE"""),"Field stations for environmental data monitoring in the Taranto area")</f>
        <v>Field stations for environmental data monitoring in the Taranto area</v>
      </c>
      <c r="E12" s="2" t="str">
        <f ca="1">IFERROR(__xludf.DUMMYFUNCTION("""COMPUTED_VALUE"""),"on-site and remote")</f>
        <v>on-site and remote</v>
      </c>
      <c r="F12" s="2" t="str">
        <f ca="1">IFERROR(__xludf.DUMMYFUNCTION("""COMPUTED_VALUE"""),"available")</f>
        <v>available</v>
      </c>
      <c r="G12" s="2" t="str">
        <f ca="1">IFERROR(__xludf.DUMMYFUNCTION("""COMPUTED_VALUE"""),"The laboratory, unique in Italy for its dimensions, occupies a floor area of about 12,500 sq m., most of which is used for the large tanks, as described below, in which  studies on three-dimensional and two-dimensional  physical models of beach and port p"&amp;"rotection structures are performed. The lab has various experimental  and measurement instrumentations as well as of support workshops, water treatment systems, computing center ,  classroom and computer rooms for students. Several field instruments (for "&amp;"the measure of some meteomarine parameters), permanently installed at the Taranto's Mar Grande and Mar Piccolo have to be considered as an integral part of the Laboratory. Further informations can be found in the dedicated datasheet: https://docs.google.c"&amp;"om/spreadsheets/d/1b7T0JhyAQDEpk09wunLjKHO3SLFM009y/edit?usp=share_link&amp;ouid=116656549857348920315&amp;rtpof=true&amp;sd=true ")</f>
        <v xml:space="preserve">The laboratory, unique in Italy for its dimensions, occupies a floor area of about 12,500 sq m., most of which is used for the large tanks, as described below, in which  studies on three-dimensional and two-dimensional  physical models of beach and port protection structures are performed. The lab has various experimental  and measurement instrumentations as well as of support workshops, water treatment systems, computing center ,  classroom and computer rooms for students. Several field instruments (for the measure of some meteomarine parameters), permanently installed at the Taranto's Mar Grande and Mar Piccolo have to be considered as an integral part of the Laboratory. Further informations can be found in the dedicated datasheet: https://docs.google.com/spreadsheets/d/1b7T0JhyAQDEpk09wunLjKHO3SLFM009y/edit?usp=share_link&amp;ouid=116656549857348920315&amp;rtpof=true&amp;sd=true </v>
      </c>
      <c r="H12" s="2"/>
      <c r="I12" s="2" t="str">
        <f ca="1">IFERROR(__xludf.DUMMYFUNCTION("""COMPUTED_VALUE"""),"Coastal Engineering Laboratory (LIC)")</f>
        <v>Coastal Engineering Laboratory (LIC)</v>
      </c>
      <c r="J12" s="2" t="str">
        <f ca="1">IFERROR(__xludf.DUMMYFUNCTION("""COMPUTED_VALUE"""),"NOT COSTED")</f>
        <v>NOT COSTED</v>
      </c>
      <c r="K12" s="2"/>
      <c r="L12" s="2"/>
    </row>
    <row r="13" spans="1:26" x14ac:dyDescent="0.2">
      <c r="A13" s="2" t="str">
        <f ca="1">IFERROR(__xludf.DUMMYFUNCTION("""COMPUTED_VALUE"""),"CONISMA-POLIBA")</f>
        <v>CONISMA-POLIBA</v>
      </c>
      <c r="B13" s="2" t="str">
        <f ca="1">IFERROR(__xludf.DUMMYFUNCTION("""COMPUTED_VALUE"""),"Technology platforms")</f>
        <v>Technology platforms</v>
      </c>
      <c r="C13" s="2" t="str">
        <f ca="1">IFERROR(__xludf.DUMMYFUNCTION("""COMPUTED_VALUE"""),"Remote sensing and telemetry")</f>
        <v>Remote sensing and telemetry</v>
      </c>
      <c r="D13" s="2" t="str">
        <f ca="1">IFERROR(__xludf.DUMMYFUNCTION("""COMPUTED_VALUE"""),"Access to the POLIBA Laboratory of Coastal Engeneering (LIC) equipped with multiple 90x50x1,20 meters tanks and sensors equipped for physical modeling of coastal and offshore phenomena")</f>
        <v>Access to the POLIBA Laboratory of Coastal Engeneering (LIC) equipped with multiple 90x50x1,20 meters tanks and sensors equipped for physical modeling of coastal and offshore phenomena</v>
      </c>
      <c r="E13" s="2" t="str">
        <f ca="1">IFERROR(__xludf.DUMMYFUNCTION("""COMPUTED_VALUE"""),"on-site and remote")</f>
        <v>on-site and remote</v>
      </c>
      <c r="F13" s="2" t="str">
        <f ca="1">IFERROR(__xludf.DUMMYFUNCTION("""COMPUTED_VALUE"""),"available")</f>
        <v>available</v>
      </c>
      <c r="G13" s="2" t="str">
        <f ca="1">IFERROR(__xludf.DUMMYFUNCTION("""COMPUTED_VALUE"""),"Available equipment include: multiple tanks and channels where to set-up the experiment, a jet thermal-hydraulic system, an apparatus for the measurement of sediment fall velocity and for anaysis of sediment division, sediment concentration probes, 3D and"&amp;" 2D wave makers, resistive probes for waves detection, ultrasound level sensors, Acustic Doppler Velocimeters, Stream-flow rotor velocity meter, pressure transducers, Vessel Mounted - Acoustic Doppler Profiler, vessel mounted - acoustic doppler profiler, "&amp;"GPS stations, Laser Doppler Anemometers, drones and laser scanners.  Further informations can be found in the dedicated datasheet: https://docs.google.com/spreadsheets/d/1b7T0JhyAQDEpk09wunLjKHO3SLFM009y/edit?usp=share_link&amp;ouid=116656549857348920315&amp;rtpo"&amp;"f=true&amp;sd=true ")</f>
        <v xml:space="preserve">Available equipment include: multiple tanks and channels where to set-up the experiment, a jet thermal-hydraulic system, an apparatus for the measurement of sediment fall velocity and for anaysis of sediment division, sediment concentration probes, 3D and 2D wave makers, resistive probes for waves detection, ultrasound level sensors, Acustic Doppler Velocimeters, Stream-flow rotor velocity meter, pressure transducers, Vessel Mounted - Acoustic Doppler Profiler, vessel mounted - acoustic doppler profiler, GPS stations, Laser Doppler Anemometers, drones and laser scanners.  Further informations can be found in the dedicated datasheet: https://docs.google.com/spreadsheets/d/1b7T0JhyAQDEpk09wunLjKHO3SLFM009y/edit?usp=share_link&amp;ouid=116656549857348920315&amp;rtpof=true&amp;sd=true </v>
      </c>
      <c r="H13" s="2"/>
      <c r="I13" s="2" t="str">
        <f ca="1">IFERROR(__xludf.DUMMYFUNCTION("""COMPUTED_VALUE"""),"Coastal Engineering Laboratory (LIC)")</f>
        <v>Coastal Engineering Laboratory (LIC)</v>
      </c>
      <c r="J13" s="2"/>
      <c r="K13" s="2"/>
      <c r="L13" s="2"/>
    </row>
    <row r="14" spans="1:26" x14ac:dyDescent="0.2">
      <c r="A14" s="2" t="str">
        <f ca="1">IFERROR(__xludf.DUMMYFUNCTION("""COMPUTED_VALUE"""),"CONISMA-UNISALENTO")</f>
        <v>CONISMA-UNISALENTO</v>
      </c>
      <c r="B14" s="2" t="str">
        <f ca="1">IFERROR(__xludf.DUMMYFUNCTION("""COMPUTED_VALUE"""),"Biological resources")</f>
        <v>Biological resources</v>
      </c>
      <c r="C14" s="2" t="str">
        <f ca="1">IFERROR(__xludf.DUMMYFUNCTION("""COMPUTED_VALUE"""),"Rearing of aquaculture animals")</f>
        <v>Rearing of aquaculture animals</v>
      </c>
      <c r="D14" s="2" t="str">
        <f ca="1">IFERROR(__xludf.DUMMYFUNCTION("""COMPUTED_VALUE"""),"Access to rearing facilities for fish and macroinvertebrates, including aquaria, tanks and lab-controlled system for manipulative experiments on marine invertebrates and support to fish rearingaquaculture facilities and support to fish rearing")</f>
        <v>Access to rearing facilities for fish and macroinvertebrates, including aquaria, tanks and lab-controlled system for manipulative experiments on marine invertebrates and support to fish rearingaquaculture facilities and support to fish rearing</v>
      </c>
      <c r="E14" s="2" t="str">
        <f ca="1">IFERROR(__xludf.DUMMYFUNCTION("""COMPUTED_VALUE"""),"on-site")</f>
        <v>on-site</v>
      </c>
      <c r="F14" s="2" t="str">
        <f ca="1">IFERROR(__xludf.DUMMYFUNCTION("""COMPUTED_VALUE"""),"available")</f>
        <v>available</v>
      </c>
      <c r="G14" s="2" t="str">
        <f ca="1">IFERROR(__xludf.DUMMYFUNCTION("""COMPUTED_VALUE"""),"Collection and rearing of marine organisms (model and non-model, benthic and planktonic taxa) including rare taxa, such as hemichordate pterobranchs. integrative (morphological, ontogenetic, molecular) taxonomy on marine invertebrates and fish. Environmen"&amp;"tal DNA sampling and analysis.")</f>
        <v>Collection and rearing of marine organisms (model and non-model, benthic and planktonic taxa) including rare taxa, such as hemichordate pterobranchs. integrative (morphological, ontogenetic, molecular) taxonomy on marine invertebrates and fish. Environmental DNA sampling and analysis.</v>
      </c>
      <c r="H14" s="2"/>
      <c r="I14" s="2"/>
      <c r="J14" s="2"/>
      <c r="K14" s="2"/>
      <c r="L14" s="2"/>
    </row>
    <row r="15" spans="1:26" x14ac:dyDescent="0.2">
      <c r="A15" s="2" t="str">
        <f ca="1">IFERROR(__xludf.DUMMYFUNCTION("""COMPUTED_VALUE"""),"CONISMA-UNISALENTO")</f>
        <v>CONISMA-UNISALENTO</v>
      </c>
      <c r="B15" s="2" t="str">
        <f ca="1">IFERROR(__xludf.DUMMYFUNCTION("""COMPUTED_VALUE"""),"Biological resources")</f>
        <v>Biological resources</v>
      </c>
      <c r="C15" s="2" t="str">
        <f ca="1">IFERROR(__xludf.DUMMYFUNCTION("""COMPUTED_VALUE"""),"Organisms collected in the wild")</f>
        <v>Organisms collected in the wild</v>
      </c>
      <c r="D15" s="2" t="str">
        <f ca="1">IFERROR(__xludf.DUMMYFUNCTION("""COMPUTED_VALUE"""),"Collection and rearing of marine organisms (model and non-model, benthic and planktonic taxa) including rare taxa, such as hemichordate pterobranchs. integrative (morphological, ontogenetic, molecular) taxonomy on marine invertebrates and fish. Environmen"&amp;"tal DNA sampling and analysis.")</f>
        <v>Collection and rearing of marine organisms (model and non-model, benthic and planktonic taxa) including rare taxa, such as hemichordate pterobranchs. integrative (morphological, ontogenetic, molecular) taxonomy on marine invertebrates and fish. Environmental DNA sampling and analysis.</v>
      </c>
      <c r="E15" s="2" t="str">
        <f ca="1">IFERROR(__xludf.DUMMYFUNCTION("""COMPUTED_VALUE"""),"on-site and remote")</f>
        <v>on-site and remote</v>
      </c>
      <c r="F15" s="2" t="str">
        <f ca="1">IFERROR(__xludf.DUMMYFUNCTION("""COMPUTED_VALUE"""),"available")</f>
        <v>available</v>
      </c>
      <c r="G15" s="2"/>
      <c r="H15" s="2"/>
      <c r="I15" s="2"/>
      <c r="J15" s="2"/>
      <c r="K15" s="2"/>
      <c r="L15" s="2"/>
    </row>
    <row r="16" spans="1:26" x14ac:dyDescent="0.2">
      <c r="A16" s="2" t="str">
        <f ca="1">IFERROR(__xludf.DUMMYFUNCTION("""COMPUTED_VALUE"""),"CONISMA-UNISALENTO")</f>
        <v>CONISMA-UNISALENTO</v>
      </c>
      <c r="B16" s="2" t="str">
        <f ca="1">IFERROR(__xludf.DUMMYFUNCTION("""COMPUTED_VALUE"""),"Ecosystem access")</f>
        <v>Ecosystem access</v>
      </c>
      <c r="C16" s="2" t="str">
        <f ca="1">IFERROR(__xludf.DUMMYFUNCTION("""COMPUTED_VALUE"""),"Coastal research vessels")</f>
        <v>Coastal research vessels</v>
      </c>
      <c r="D16" s="2" t="str">
        <f ca="1">IFERROR(__xludf.DUMMYFUNCTION("""COMPUTED_VALUE"""),"14 m  Research vessel equipped with ROV (0-120 m depth operational range), onboard SCUBA tank refill station, underwater SCUBA scooters, multi-parameter probe Hydrolab HL7 SN; Air and NITROX SCUBA diving facilities. Rubber boats for coastal sampling campa"&amp;"igns.")</f>
        <v>14 m  Research vessel equipped with ROV (0-120 m depth operational range), onboard SCUBA tank refill station, underwater SCUBA scooters, multi-parameter probe Hydrolab HL7 SN; Air and NITROX SCUBA diving facilities. Rubber boats for coastal sampling campaigns.</v>
      </c>
      <c r="E16" s="2" t="str">
        <f ca="1">IFERROR(__xludf.DUMMYFUNCTION("""COMPUTED_VALUE"""),"on-site")</f>
        <v>on-site</v>
      </c>
      <c r="F16" s="2" t="str">
        <f ca="1">IFERROR(__xludf.DUMMYFUNCTION("""COMPUTED_VALUE"""),"available")</f>
        <v>available</v>
      </c>
      <c r="G16" s="2" t="str">
        <f ca="1">IFERROR(__xludf.DUMMYFUNCTION("""COMPUTED_VALUE"""),"Research vessel PELAGIA Aquatic Mobile Lab (12.5 ton, length 14.5 m, engine power : 2 x 350 HP, cruise speed : 15 kn, max # persons 10 sci staff + 2 crew members); sampling equipment: grabs, dredges, plankton and neuston nets, NISKIN bottles, SCUBA facili"&amp;"ties (tanks, air or NITROX refilling stations). Contextually, samples can be taxonomically identified and studied via microscopy (light microscope, dissecting microscope, videocamera, image analysis system) and basic molecular biology lab (including DNA b"&amp;"arcoding and eDNA metabarcoding) on request")</f>
        <v>Research vessel PELAGIA Aquatic Mobile Lab (12.5 ton, length 14.5 m, engine power : 2 x 350 HP, cruise speed : 15 kn, max # persons 10 sci staff + 2 crew members); sampling equipment: grabs, dredges, plankton and neuston nets, NISKIN bottles, SCUBA facilities (tanks, air or NITROX refilling stations). Contextually, samples can be taxonomically identified and studied via microscopy (light microscope, dissecting microscope, videocamera, image analysis system) and basic molecular biology lab (including DNA barcoding and eDNA metabarcoding) on request</v>
      </c>
      <c r="H16" s="2"/>
      <c r="I16" s="2"/>
      <c r="J16" s="2"/>
      <c r="K16" s="2"/>
      <c r="L16" s="2"/>
    </row>
    <row r="17" spans="1:12" x14ac:dyDescent="0.2">
      <c r="A17" s="2" t="str">
        <f ca="1">IFERROR(__xludf.DUMMYFUNCTION("""COMPUTED_VALUE"""),"CONISMA-UNISALENTO")</f>
        <v>CONISMA-UNISALENTO</v>
      </c>
      <c r="B17" s="2" t="str">
        <f ca="1">IFERROR(__xludf.DUMMYFUNCTION("""COMPUTED_VALUE"""),"E-services")</f>
        <v>E-services</v>
      </c>
      <c r="C17" s="2" t="str">
        <f ca="1">IFERROR(__xludf.DUMMYFUNCTION("""COMPUTED_VALUE"""),"Data sets")</f>
        <v>Data sets</v>
      </c>
      <c r="D17" s="2" t="str">
        <f ca="1">IFERROR(__xludf.DUMMYFUNCTION("""COMPUTED_VALUE"""),"benthic communities, gelatinous plankton")</f>
        <v>benthic communities, gelatinous plankton</v>
      </c>
      <c r="E17" s="2" t="str">
        <f ca="1">IFERROR(__xludf.DUMMYFUNCTION("""COMPUTED_VALUE"""),"on-site")</f>
        <v>on-site</v>
      </c>
      <c r="F17" s="2" t="str">
        <f ca="1">IFERROR(__xludf.DUMMYFUNCTION("""COMPUTED_VALUE"""),"available")</f>
        <v>available</v>
      </c>
      <c r="G17" s="2"/>
      <c r="H17" s="2"/>
      <c r="I17" s="2"/>
      <c r="J17" s="2"/>
      <c r="K17" s="2"/>
      <c r="L17" s="2"/>
    </row>
    <row r="18" spans="1:12" x14ac:dyDescent="0.2">
      <c r="A18" s="2" t="str">
        <f ca="1">IFERROR(__xludf.DUMMYFUNCTION("""COMPUTED_VALUE"""),"CONISMA-UNISALENTO")</f>
        <v>CONISMA-UNISALENTO</v>
      </c>
      <c r="B18" s="2" t="str">
        <f ca="1">IFERROR(__xludf.DUMMYFUNCTION("""COMPUTED_VALUE"""),"Technology platforms")</f>
        <v>Technology platforms</v>
      </c>
      <c r="C18" s="2" t="str">
        <f ca="1">IFERROR(__xludf.DUMMYFUNCTION("""COMPUTED_VALUE"""),"Structural and chemical analysis")</f>
        <v>Structural and chemical analysis</v>
      </c>
      <c r="D18" s="2" t="str">
        <f ca="1">IFERROR(__xludf.DUMMYFUNCTION("""COMPUTED_VALUE"""),"Metabolic studies &amp; Metabolomic lab")</f>
        <v>Metabolic studies &amp; Metabolomic lab</v>
      </c>
      <c r="E18" s="2" t="str">
        <f ca="1">IFERROR(__xludf.DUMMYFUNCTION("""COMPUTED_VALUE"""),"on-site and remote")</f>
        <v>on-site and remote</v>
      </c>
      <c r="F18" s="2" t="str">
        <f ca="1">IFERROR(__xludf.DUMMYFUNCTION("""COMPUTED_VALUE"""),"available")</f>
        <v>available</v>
      </c>
      <c r="G18" s="2" t="str">
        <f ca="1">IFERROR(__xludf.DUMMYFUNCTION("""COMPUTED_VALUE"""),"Bruker Avance III 400 MHz NMR spectrometer, Milestone Start D Microwave Mineralizer, Perkin Elmer Lambda 16 UV-Vis spectrophotometer, Thermo Scientific iCAP 6300 Duo ICP-AES spectrometer, Bruker Fourier 80 NMR Spectrometer - Methabolic Profiler composed o"&amp;"f: AVANCE III HDTM 600 Superconducting FT-NMR Spectrometer, BRUKER Daltonics MicroTOF Q ESI Q TOF Mass Spectrometer, LC-SPE, NMR accessory, Metabolic Profiling Software. Dedicated hardware and software for metabolomics studies")</f>
        <v>Bruker Avance III 400 MHz NMR spectrometer, Milestone Start D Microwave Mineralizer, Perkin Elmer Lambda 16 UV-Vis spectrophotometer, Thermo Scientific iCAP 6300 Duo ICP-AES spectrometer, Bruker Fourier 80 NMR Spectrometer - Methabolic Profiler composed of: AVANCE III HDTM 600 Superconducting FT-NMR Spectrometer, BRUKER Daltonics MicroTOF Q ESI Q TOF Mass Spectrometer, LC-SPE, NMR accessory, Metabolic Profiling Software. Dedicated hardware and software for metabolomics studies</v>
      </c>
      <c r="H18" s="2"/>
      <c r="I18" s="2"/>
      <c r="J18" s="2"/>
      <c r="K18" s="2"/>
      <c r="L18" s="2"/>
    </row>
    <row r="19" spans="1:12" x14ac:dyDescent="0.2">
      <c r="A19" s="2" t="str">
        <f ca="1">IFERROR(__xludf.DUMMYFUNCTION("""COMPUTED_VALUE"""),"CONISMA-UNISALENTO")</f>
        <v>CONISMA-UNISALENTO</v>
      </c>
      <c r="B19" s="2" t="str">
        <f ca="1">IFERROR(__xludf.DUMMYFUNCTION("""COMPUTED_VALUE"""),"Experimental facilities")</f>
        <v>Experimental facilities</v>
      </c>
      <c r="C19" s="2" t="str">
        <f ca="1">IFERROR(__xludf.DUMMYFUNCTION("""COMPUTED_VALUE"""),"Aquaria and tanks")</f>
        <v>Aquaria and tanks</v>
      </c>
      <c r="D19" s="2" t="str">
        <f ca="1">IFERROR(__xludf.DUMMYFUNCTION("""COMPUTED_VALUE"""),"Aquaria and tanks and lab-controlled system for manipulative experiments on marine invertebrates; Rearing facilities for fish and macroinvertebrates, aquaculture facilities and support to fish rearing")</f>
        <v>Aquaria and tanks and lab-controlled system for manipulative experiments on marine invertebrates; Rearing facilities for fish and macroinvertebrates, aquaculture facilities and support to fish rearing</v>
      </c>
      <c r="E19" s="2" t="str">
        <f ca="1">IFERROR(__xludf.DUMMYFUNCTION("""COMPUTED_VALUE"""),"on-site")</f>
        <v>on-site</v>
      </c>
      <c r="F19" s="2" t="str">
        <f ca="1">IFERROR(__xludf.DUMMYFUNCTION("""COMPUTED_VALUE"""),"available")</f>
        <v>available</v>
      </c>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row r="998" spans="1:12" x14ac:dyDescent="0.2">
      <c r="A998" s="2"/>
      <c r="B998" s="2"/>
      <c r="C998" s="2"/>
      <c r="D998" s="2"/>
      <c r="E998" s="2"/>
      <c r="F998" s="2"/>
      <c r="G998" s="2"/>
      <c r="H998" s="2"/>
      <c r="I998" s="2"/>
      <c r="J998" s="2"/>
      <c r="K998" s="2"/>
      <c r="L998" s="2"/>
    </row>
    <row r="999" spans="1:12" x14ac:dyDescent="0.2">
      <c r="A999" s="2"/>
      <c r="B999" s="2"/>
      <c r="C999" s="2"/>
      <c r="D999" s="2"/>
      <c r="E999" s="2"/>
      <c r="F999" s="2"/>
      <c r="G999" s="2"/>
      <c r="H999" s="2"/>
      <c r="I999" s="2"/>
      <c r="J999" s="2"/>
      <c r="K999" s="2"/>
      <c r="L999" s="2"/>
    </row>
    <row r="1000" spans="1:12" x14ac:dyDescent="0.2">
      <c r="A1000" s="2"/>
      <c r="B1000" s="2"/>
      <c r="C1000" s="2"/>
      <c r="D1000" s="2"/>
      <c r="E1000" s="2"/>
      <c r="F1000" s="2"/>
      <c r="G1000" s="2"/>
      <c r="H1000" s="2"/>
      <c r="I1000" s="2"/>
      <c r="J1000" s="2"/>
      <c r="K1000" s="2"/>
      <c r="L1000" s="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L976"/>
  <sheetViews>
    <sheetView workbookViewId="0">
      <pane ySplit="1" topLeftCell="A2" activePane="bottomLeft" state="frozen"/>
      <selection pane="bottomLeft" activeCell="B3" sqref="B3"/>
    </sheetView>
  </sheetViews>
  <sheetFormatPr defaultColWidth="12.5703125" defaultRowHeight="15.75" customHeight="1" x14ac:dyDescent="0.2"/>
  <sheetData>
    <row r="1" spans="1:12" x14ac:dyDescent="0.2">
      <c r="A1" s="6" t="str">
        <f ca="1">IFERROR(__xludf.DUMMYFUNCTION("IMPORTRANGE(""https://docs.google.com/spreadsheets/d/1zeKvqEOjXbWTdJ-N8gDd6o10TI5d82ADDfThwIx0Pjc/edit#gid=0"", ""OGS!A1:L"")"),"site")</f>
        <v>site</v>
      </c>
      <c r="B1" s="2" t="str">
        <f ca="1">IFERROR(__xludf.DUMMYFUNCTION("""COMPUTED_VALUE"""),"category")</f>
        <v>category</v>
      </c>
      <c r="C1" s="2" t="str">
        <f ca="1">IFERROR(__xludf.DUMMYFUNCTION("""COMPUTED_VALUE"""),"subcategory")</f>
        <v>subcategory</v>
      </c>
      <c r="D1" s="2" t="str">
        <f ca="1">IFERROR(__xludf.DUMMYFUNCTION("""COMPUTED_VALUE"""),"description of the service")</f>
        <v>description of the service</v>
      </c>
      <c r="E1" s="2" t="str">
        <f ca="1">IFERROR(__xludf.DUMMYFUNCTION("""COMPUTED_VALUE"""),"access type")</f>
        <v>access type</v>
      </c>
      <c r="F1" s="2" t="str">
        <f ca="1">IFERROR(__xludf.DUMMYFUNCTION("""COMPUTED_VALUE"""),"status")</f>
        <v>status</v>
      </c>
      <c r="G1" s="2" t="str">
        <f ca="1">IFERROR(__xludf.DUMMYFUNCTION("""COMPUTED_VALUE"""),"contextual information or expertise associated to the service")</f>
        <v>contextual information or expertise associated to the service</v>
      </c>
      <c r="H1" s="2" t="str">
        <f ca="1">IFERROR(__xludf.DUMMYFUNCTION("""COMPUTED_VALUE"""),"keywords of the service")</f>
        <v>keywords of the service</v>
      </c>
      <c r="I1" s="2" t="str">
        <f ca="1">IFERROR(__xludf.DUMMYFUNCTION("""COMPUTED_VALUE"""),"platform name")</f>
        <v>platform name</v>
      </c>
      <c r="J1" s="2" t="str">
        <f ca="1">IFERROR(__xludf.DUMMYFUNCTION("""COMPUTED_VALUE"""),"Note di Giorgio")</f>
        <v>Note di Giorgio</v>
      </c>
      <c r="K1" s="2"/>
      <c r="L1" s="2"/>
    </row>
    <row r="2" spans="1:12" x14ac:dyDescent="0.2">
      <c r="A2" s="2" t="str">
        <f ca="1">IFERROR(__xludf.DUMMYFUNCTION("""COMPUTED_VALUE"""),"OGS")</f>
        <v>OGS</v>
      </c>
      <c r="B2" s="2" t="str">
        <f ca="1">IFERROR(__xludf.DUMMYFUNCTION("""COMPUTED_VALUE"""),"Biological resources")</f>
        <v>Biological resources</v>
      </c>
      <c r="C2" s="2" t="str">
        <f ca="1">IFERROR(__xludf.DUMMYFUNCTION("""COMPUTED_VALUE"""),"Culture collections")</f>
        <v>Culture collections</v>
      </c>
      <c r="D2" s="2" t="str">
        <f ca="1">IFERROR(__xludf.DUMMYFUNCTION("""COMPUTED_VALUE"""),"Access to CoSMI Microalgal Culture Collection containing ∼100 strains of phytoplanktonic species (Diatoms, Dinoflagellates, Cryptophytes, Prymnesiophytes, Chlorophytes, Prasinophytes, Euglenophytes, Dictyochophytes). Presence of potentially toxic dinoflag"&amp;"ellates and diatoms responsible for blooms and species used in aquaculture and ecotoxicology. The complete list of species is available in the CoSMi website: http://cosmi.inogs.it/. Services of isolation from the wild, growth and identification of marine "&amp;"microorganisms by combining morphological observations and molecular analyses upon request")</f>
        <v>Access to CoSMI Microalgal Culture Collection containing ∼100 strains of phytoplanktonic species (Diatoms, Dinoflagellates, Cryptophytes, Prymnesiophytes, Chlorophytes, Prasinophytes, Euglenophytes, Dictyochophytes). Presence of potentially toxic dinoflagellates and diatoms responsible for blooms and species used in aquaculture and ecotoxicology. The complete list of species is available in the CoSMi website: http://cosmi.inogs.it/. Services of isolation from the wild, growth and identification of marine microorganisms by combining morphological observations and molecular analyses upon request</v>
      </c>
      <c r="E2" s="2" t="str">
        <f ca="1">IFERROR(__xludf.DUMMYFUNCTION("""COMPUTED_VALUE"""),"on-site and remote")</f>
        <v>on-site and remote</v>
      </c>
      <c r="F2" s="2" t="str">
        <f ca="1">IFERROR(__xludf.DUMMYFUNCTION("""COMPUTED_VALUE"""),"available")</f>
        <v>available</v>
      </c>
      <c r="G2" s="2" t="str">
        <f ca="1">IFERROR(__xludf.DUMMYFUNCTION("""COMPUTED_VALUE"""),"CoSMi culture collection containing ∼100 strains of phytoplanktonic species (Diatoms, Dinoflagellates, Cryptophytes, Prymnesiophytes, Chlorophytes, Prasinophytes, Euglenophytes, Dictyochophytes). Presence of potentially toxic dinoflagellates and diatoms r"&amp;"esponsible for blooms and species used in aquaculture and ecotoxicology. The complete list of species is available in the CoSMi website: http://cosmi.inogs.it/. Services of isolation from the wild, growth and identification of marine microorganisms by com"&amp;"bining morphological observations and molecular analyses upon request")</f>
        <v>CoSMi culture collection containing ∼100 strains of phytoplanktonic species (Diatoms, Dinoflagellates, Cryptophytes, Prymnesiophytes, Chlorophytes, Prasinophytes, Euglenophytes, Dictyochophytes). Presence of potentially toxic dinoflagellates and diatoms responsible for blooms and species used in aquaculture and ecotoxicology. The complete list of species is available in the CoSMi website: http://cosmi.inogs.it/. Services of isolation from the wild, growth and identification of marine microorganisms by combining morphological observations and molecular analyses upon request</v>
      </c>
      <c r="H2" s="2" t="str">
        <f ca="1">IFERROR(__xludf.DUMMYFUNCTION("""COMPUTED_VALUE"""),"microalgae, diatoms, dinoflagellates, culture, collection")</f>
        <v>microalgae, diatoms, dinoflagellates, culture, collection</v>
      </c>
      <c r="I2" s="2" t="str">
        <f ca="1">IFERROR(__xludf.DUMMYFUNCTION("""COMPUTED_VALUE"""),"CoSMi")</f>
        <v>CoSMi</v>
      </c>
      <c r="J2" s="2"/>
      <c r="K2" s="2"/>
      <c r="L2" s="2"/>
    </row>
    <row r="3" spans="1:12" x14ac:dyDescent="0.2">
      <c r="A3" s="2" t="str">
        <f ca="1">IFERROR(__xludf.DUMMYFUNCTION("""COMPUTED_VALUE"""),"OGS")</f>
        <v>OGS</v>
      </c>
      <c r="B3" s="2" t="str">
        <f ca="1">IFERROR(__xludf.DUMMYFUNCTION("""COMPUTED_VALUE"""),"Biological resources")</f>
        <v>Biological resources</v>
      </c>
      <c r="C3" s="2" t="str">
        <f ca="1">IFERROR(__xludf.DUMMYFUNCTION("""COMPUTED_VALUE"""),"Taxonomic services")</f>
        <v>Taxonomic services</v>
      </c>
      <c r="D3" s="2" t="str">
        <f ca="1">IFERROR(__xludf.DUMMYFUNCTION("""COMPUTED_VALUE"""),"Access to service of Identification, sorting and characterization throught visual (morphology) and molecular approaches of Microzooplankton, Phytoplankton and Macrozoobenthos")</f>
        <v>Access to service of Identification, sorting and characterization throught visual (morphology) and molecular approaches of Microzooplankton, Phytoplankton and Macrozoobenthos</v>
      </c>
      <c r="E3" s="2" t="str">
        <f ca="1">IFERROR(__xludf.DUMMYFUNCTION("""COMPUTED_VALUE"""),"on-site and remote")</f>
        <v>on-site and remote</v>
      </c>
      <c r="F3" s="2" t="str">
        <f ca="1">IFERROR(__xludf.DUMMYFUNCTION("""COMPUTED_VALUE"""),"available")</f>
        <v>available</v>
      </c>
      <c r="G3" s="2" t="str">
        <f ca="1">IFERROR(__xludf.DUMMYFUNCTION("""COMPUTED_VALUE"""),"Contextual equipment for sample manipulation is available: climate rooms, wet labs, water manipulation equipment, water incubation units and aquaria are available. Gas supply available upon request. Imaging (epifluorescence microscopy, optical microscopy,"&amp;" flow cytometry), chemical measurement (nutrients, chlorophyll a and particulate organic C &amp; N) and molcular platform (PCR, RT-PCR, sample preparation for NGS) available on site")</f>
        <v>Contextual equipment for sample manipulation is available: climate rooms, wet labs, water manipulation equipment, water incubation units and aquaria are available. Gas supply available upon request. Imaging (epifluorescence microscopy, optical microscopy, flow cytometry), chemical measurement (nutrients, chlorophyll a and particulate organic C &amp; N) and molcular platform (PCR, RT-PCR, sample preparation for NGS) available on site</v>
      </c>
      <c r="H3" s="2" t="str">
        <f ca="1">IFERROR(__xludf.DUMMYFUNCTION("""COMPUTED_VALUE"""),"microalgae, ciliates, sampling, isolation, collection")</f>
        <v>microalgae, ciliates, sampling, isolation, collection</v>
      </c>
      <c r="I3" s="2" t="str">
        <f ca="1">IFERROR(__xludf.DUMMYFUNCTION("""COMPUTED_VALUE"""),"CoSMi")</f>
        <v>CoSMi</v>
      </c>
      <c r="J3" s="2"/>
      <c r="K3" s="2"/>
      <c r="L3" s="2"/>
    </row>
    <row r="4" spans="1:12" x14ac:dyDescent="0.2">
      <c r="A4" s="2" t="str">
        <f ca="1">IFERROR(__xludf.DUMMYFUNCTION("""COMPUTED_VALUE"""),"OGS")</f>
        <v>OGS</v>
      </c>
      <c r="B4" s="2" t="str">
        <f ca="1">IFERROR(__xludf.DUMMYFUNCTION("""COMPUTED_VALUE"""),"Ecosystem access")</f>
        <v>Ecosystem access</v>
      </c>
      <c r="C4" s="2" t="str">
        <f ca="1">IFERROR(__xludf.DUMMYFUNCTION("""COMPUTED_VALUE"""),"Coastal research vessels")</f>
        <v>Coastal research vessels</v>
      </c>
      <c r="D4" s="2" t="str">
        <f ca="1">IFERROR(__xludf.DUMMYFUNCTION("""COMPUTED_VALUE"""),"Access to the Gulf of Trieste, including station C1-LTER,  with 10 m research vessel MEDUSA, equipped for manual seawater sampling (Niskin bottles, phytoplankton nets, CTD)")</f>
        <v>Access to the Gulf of Trieste, including station C1-LTER,  with 10 m research vessel MEDUSA, equipped for manual seawater sampling (Niskin bottles, phytoplankton nets, CTD)</v>
      </c>
      <c r="E4" s="2" t="str">
        <f ca="1">IFERROR(__xludf.DUMMYFUNCTION("""COMPUTED_VALUE"""),"on-site and remote")</f>
        <v>on-site and remote</v>
      </c>
      <c r="F4" s="2" t="str">
        <f ca="1">IFERROR(__xludf.DUMMYFUNCTION("""COMPUTED_VALUE"""),"available")</f>
        <v>available</v>
      </c>
      <c r="G4" s="2" t="str">
        <f ca="1">IFERROR(__xludf.DUMMYFUNCTION("""COMPUTED_VALUE"""),"A 10 meters vessel is available for manual seawater sampling (Niskin bottles, phytoplankton nets, CTD). Other boats can be rented on site if sediment sampling, zooplankton nets or the use of a rosette sampler is required. Max water depth for sampling is 2"&amp;"5 m.")</f>
        <v>A 10 meters vessel is available for manual seawater sampling (Niskin bottles, phytoplankton nets, CTD). Other boats can be rented on site if sediment sampling, zooplankton nets or the use of a rosette sampler is required. Max water depth for sampling is 25 m.</v>
      </c>
      <c r="H4" s="2" t="str">
        <f ca="1">IFERROR(__xludf.DUMMYFUNCTION("""COMPUTED_VALUE"""),"vessel, sampling, coastal, Gulf of trieste, Adriatic")</f>
        <v>vessel, sampling, coastal, Gulf of trieste, Adriatic</v>
      </c>
      <c r="I4" s="2" t="str">
        <f ca="1">IFERROR(__xludf.DUMMYFUNCTION("""COMPUTED_VALUE"""),"MEDUSA")</f>
        <v>MEDUSA</v>
      </c>
      <c r="J4" s="2"/>
      <c r="K4" s="2"/>
      <c r="L4" s="2"/>
    </row>
    <row r="5" spans="1:12" x14ac:dyDescent="0.2">
      <c r="A5" s="2"/>
      <c r="B5" s="2"/>
      <c r="C5" s="2"/>
      <c r="D5" s="2"/>
      <c r="E5" s="2"/>
      <c r="F5" s="2"/>
      <c r="G5" s="2"/>
      <c r="H5" s="2"/>
      <c r="I5" s="2"/>
      <c r="J5" s="2"/>
      <c r="K5" s="2"/>
      <c r="L5" s="2"/>
    </row>
    <row r="6" spans="1:12" x14ac:dyDescent="0.2">
      <c r="A6" s="2"/>
      <c r="B6" s="2"/>
      <c r="C6" s="2"/>
      <c r="D6" s="2"/>
      <c r="E6" s="2"/>
      <c r="F6" s="2"/>
      <c r="G6" s="2"/>
      <c r="H6" s="2"/>
      <c r="I6" s="2"/>
      <c r="J6" s="2"/>
      <c r="K6" s="2"/>
      <c r="L6" s="2"/>
    </row>
    <row r="7" spans="1:12" x14ac:dyDescent="0.2">
      <c r="A7" s="2"/>
      <c r="B7" s="2"/>
      <c r="C7" s="2"/>
      <c r="D7" s="2"/>
      <c r="E7" s="2"/>
      <c r="F7" s="2"/>
      <c r="G7" s="2"/>
      <c r="H7" s="2"/>
      <c r="I7" s="2"/>
      <c r="J7" s="2"/>
      <c r="K7" s="2"/>
      <c r="L7" s="2"/>
    </row>
    <row r="8" spans="1:12" x14ac:dyDescent="0.2">
      <c r="A8" s="2"/>
      <c r="B8" s="2"/>
      <c r="C8" s="2"/>
      <c r="D8" s="2"/>
      <c r="E8" s="2"/>
      <c r="F8" s="2"/>
      <c r="G8" s="2"/>
      <c r="H8" s="2"/>
      <c r="I8" s="2"/>
      <c r="J8" s="2"/>
      <c r="K8" s="2"/>
      <c r="L8" s="2"/>
    </row>
    <row r="9" spans="1:12" x14ac:dyDescent="0.2">
      <c r="A9" s="2"/>
      <c r="B9" s="2"/>
      <c r="C9" s="2"/>
      <c r="D9" s="2"/>
      <c r="E9" s="2"/>
      <c r="F9" s="2"/>
      <c r="G9" s="2"/>
      <c r="H9" s="2"/>
      <c r="I9" s="2"/>
      <c r="J9" s="2"/>
      <c r="K9" s="2"/>
      <c r="L9" s="2"/>
    </row>
    <row r="10" spans="1:12" x14ac:dyDescent="0.2">
      <c r="A10" s="2"/>
      <c r="B10" s="2"/>
      <c r="C10" s="2"/>
      <c r="D10" s="2"/>
      <c r="E10" s="2"/>
      <c r="F10" s="2"/>
      <c r="G10" s="2"/>
      <c r="H10" s="2"/>
      <c r="I10" s="2"/>
      <c r="J10" s="2"/>
      <c r="K10" s="2"/>
      <c r="L10" s="2"/>
    </row>
    <row r="11" spans="1:12" x14ac:dyDescent="0.2">
      <c r="A11" s="2"/>
      <c r="B11" s="2"/>
      <c r="C11" s="2"/>
      <c r="D11" s="2"/>
      <c r="E11" s="2"/>
      <c r="F11" s="2"/>
      <c r="G11" s="2"/>
      <c r="H11" s="2"/>
      <c r="I11" s="2"/>
      <c r="J11" s="2"/>
      <c r="K11" s="2"/>
      <c r="L11" s="2"/>
    </row>
    <row r="12" spans="1:12" x14ac:dyDescent="0.2">
      <c r="A12" s="2"/>
      <c r="B12" s="2"/>
      <c r="C12" s="2"/>
      <c r="D12" s="2"/>
      <c r="E12" s="2"/>
      <c r="F12" s="2"/>
      <c r="G12" s="2"/>
      <c r="H12" s="2"/>
      <c r="I12" s="2"/>
      <c r="J12" s="2"/>
      <c r="K12" s="2"/>
      <c r="L12" s="2"/>
    </row>
    <row r="13" spans="1:12" x14ac:dyDescent="0.2">
      <c r="A13" s="2"/>
      <c r="B13" s="2"/>
      <c r="C13" s="2"/>
      <c r="D13" s="2"/>
      <c r="E13" s="2"/>
      <c r="F13" s="2"/>
      <c r="G13" s="2"/>
      <c r="H13" s="2"/>
      <c r="I13" s="2"/>
      <c r="J13" s="2"/>
      <c r="K13" s="2"/>
      <c r="L13" s="2"/>
    </row>
    <row r="14" spans="1:12" x14ac:dyDescent="0.2">
      <c r="A14" s="2"/>
      <c r="B14" s="2"/>
      <c r="C14" s="2"/>
      <c r="D14" s="2"/>
      <c r="E14" s="2"/>
      <c r="F14" s="2"/>
      <c r="G14" s="2"/>
      <c r="H14" s="2"/>
      <c r="I14" s="2"/>
      <c r="J14" s="2"/>
      <c r="K14" s="2"/>
      <c r="L14" s="2"/>
    </row>
    <row r="15" spans="1:12" x14ac:dyDescent="0.2">
      <c r="A15" s="2"/>
      <c r="B15" s="2"/>
      <c r="C15" s="2"/>
      <c r="D15" s="2"/>
      <c r="E15" s="2"/>
      <c r="F15" s="2"/>
      <c r="G15" s="2"/>
      <c r="H15" s="2"/>
      <c r="I15" s="2"/>
      <c r="J15" s="2"/>
      <c r="K15" s="2"/>
      <c r="L15" s="2"/>
    </row>
    <row r="16" spans="1:12"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L975"/>
  <sheetViews>
    <sheetView workbookViewId="0">
      <pane ySplit="1" topLeftCell="A2" activePane="bottomLeft" state="frozen"/>
      <selection pane="bottomLeft" activeCell="B3" sqref="B3"/>
    </sheetView>
  </sheetViews>
  <sheetFormatPr defaultColWidth="12.5703125" defaultRowHeight="15.75" customHeight="1" x14ac:dyDescent="0.2"/>
  <sheetData>
    <row r="1" spans="1:12" x14ac:dyDescent="0.2">
      <c r="A1" s="6" t="str">
        <f ca="1">IFERROR(__xludf.DUMMYFUNCTION("IMPORTRANGE(""https://docs.google.com/spreadsheets/d/1ntoxtMuEkVtVyAMwOwEGsmpHROz0MwDjjhJYj30PStc/edit#gid=0"", ""izsplv!A1:L"")"),"institute/site acronym")</f>
        <v>institute/site acronym</v>
      </c>
      <c r="B1" s="2" t="str">
        <f ca="1">IFERROR(__xludf.DUMMYFUNCTION("""COMPUTED_VALUE"""),"category")</f>
        <v>category</v>
      </c>
      <c r="C1" s="2" t="str">
        <f ca="1">IFERROR(__xludf.DUMMYFUNCTION("""COMPUTED_VALUE"""),"subcategory")</f>
        <v>subcategory</v>
      </c>
      <c r="D1" s="2" t="str">
        <f ca="1">IFERROR(__xludf.DUMMYFUNCTION("""COMPUTED_VALUE"""),"description of the service")</f>
        <v>description of the service</v>
      </c>
      <c r="E1" s="2" t="str">
        <f ca="1">IFERROR(__xludf.DUMMYFUNCTION("""COMPUTED_VALUE"""),"access type")</f>
        <v>access type</v>
      </c>
      <c r="F1" s="2" t="str">
        <f ca="1">IFERROR(__xludf.DUMMYFUNCTION("""COMPUTED_VALUE"""),"status")</f>
        <v>status</v>
      </c>
      <c r="G1" s="2" t="str">
        <f ca="1">IFERROR(__xludf.DUMMYFUNCTION("""COMPUTED_VALUE"""),"contextual information or expertise associated to the service")</f>
        <v>contextual information or expertise associated to the service</v>
      </c>
      <c r="H1" s="2" t="str">
        <f ca="1">IFERROR(__xludf.DUMMYFUNCTION("""COMPUTED_VALUE"""),"keywords of the service")</f>
        <v>keywords of the service</v>
      </c>
      <c r="I1" s="2" t="str">
        <f ca="1">IFERROR(__xludf.DUMMYFUNCTION("""COMPUTED_VALUE"""),"platform name")</f>
        <v>platform name</v>
      </c>
      <c r="J1" s="2" t="str">
        <f ca="1">IFERROR(__xludf.DUMMYFUNCTION("""COMPUTED_VALUE"""),"Note di Giorgio")</f>
        <v>Note di Giorgio</v>
      </c>
      <c r="K1" s="2"/>
      <c r="L1" s="2"/>
    </row>
    <row r="2" spans="1:12" x14ac:dyDescent="0.2">
      <c r="A2" s="2" t="str">
        <f ca="1">IFERROR(__xludf.DUMMYFUNCTION("""COMPUTED_VALUE"""),"IZSPLV")</f>
        <v>IZSPLV</v>
      </c>
      <c r="B2" s="2" t="str">
        <f ca="1">IFERROR(__xludf.DUMMYFUNCTION("""COMPUTED_VALUE"""),"Technology platforms")</f>
        <v>Technology platforms</v>
      </c>
      <c r="C2" s="2" t="str">
        <f ca="1">IFERROR(__xludf.DUMMYFUNCTION("""COMPUTED_VALUE"""),"Structural and chemical analysis")</f>
        <v>Structural and chemical analysis</v>
      </c>
      <c r="D2" s="2" t="str">
        <f ca="1">IFERROR(__xludf.DUMMYFUNCTION("""COMPUTED_VALUE"""),"Spectrometry Core Facility. Marine passive sample deployment for environmental pollution monitoring")</f>
        <v>Spectrometry Core Facility. Marine passive sample deployment for environmental pollution monitoring</v>
      </c>
      <c r="E2" s="2" t="str">
        <f ca="1">IFERROR(__xludf.DUMMYFUNCTION("""COMPUTED_VALUE"""),"on-site and remote")</f>
        <v>on-site and remote</v>
      </c>
      <c r="F2" s="2" t="str">
        <f ca="1">IFERROR(__xludf.DUMMYFUNCTION("""COMPUTED_VALUE"""),"not available")</f>
        <v>not available</v>
      </c>
      <c r="G2" s="2" t="str">
        <f ca="1">IFERROR(__xludf.DUMMYFUNCTION("""COMPUTED_VALUE"""),"Maldi Biotyper (avanced tech. mass spectrometer) and IR Biotyper (avanced tech. infrared spectrometer) are available. . Ad hoc protocol development and data analyses and interpretation is available on request. Marine pollutant, drug metabolites")</f>
        <v>Maldi Biotyper (avanced tech. mass spectrometer) and IR Biotyper (avanced tech. infrared spectrometer) are available. . Ad hoc protocol development and data analyses and interpretation is available on request. Marine pollutant, drug metabolites</v>
      </c>
      <c r="H2" s="2" t="str">
        <f ca="1">IFERROR(__xludf.DUMMYFUNCTION("""COMPUTED_VALUE"""),"mass spectrometry, infrared spectrometry, Maldi biotyper, IR Biotyper. Environment, passive samples, pollutants")</f>
        <v>mass spectrometry, infrared spectrometry, Maldi biotyper, IR Biotyper. Environment, passive samples, pollutants</v>
      </c>
      <c r="I2" s="2"/>
      <c r="J2" s="2"/>
      <c r="K2" s="2"/>
      <c r="L2" s="2"/>
    </row>
    <row r="3" spans="1:12" x14ac:dyDescent="0.2">
      <c r="A3" s="2" t="str">
        <f ca="1">IFERROR(__xludf.DUMMYFUNCTION("""COMPUTED_VALUE"""),"IZSPLV")</f>
        <v>IZSPLV</v>
      </c>
      <c r="B3" s="2" t="str">
        <f ca="1">IFERROR(__xludf.DUMMYFUNCTION("""COMPUTED_VALUE"""),"Technology platforms")</f>
        <v>Technology platforms</v>
      </c>
      <c r="C3" s="2" t="str">
        <f ca="1">IFERROR(__xludf.DUMMYFUNCTION("""COMPUTED_VALUE"""),"Molecular biology and omics")</f>
        <v>Molecular biology and omics</v>
      </c>
      <c r="D3" s="2" t="str">
        <f ca="1">IFERROR(__xludf.DUMMYFUNCTION("""COMPUTED_VALUE"""),"Molecular Biology Core Facility")</f>
        <v>Molecular Biology Core Facility</v>
      </c>
      <c r="E3" s="2" t="str">
        <f ca="1">IFERROR(__xludf.DUMMYFUNCTION("""COMPUTED_VALUE"""),"on-site and remote")</f>
        <v>on-site and remote</v>
      </c>
      <c r="F3" s="2" t="str">
        <f ca="1">IFERROR(__xludf.DUMMYFUNCTION("""COMPUTED_VALUE"""),"not available")</f>
        <v>not available</v>
      </c>
      <c r="G3" s="2" t="str">
        <f ca="1">IFERROR(__xludf.DUMMYFUNCTION("""COMPUTED_VALUE"""),"End-point PCR, Real-time PCR, Sanger/Next Generation Sequencing(NGS-WGS), Microsatellyte analysis are available. . Ad hoc protocol development and data analyses and interpretation is available on request.")</f>
        <v>End-point PCR, Real-time PCR, Sanger/Next Generation Sequencing(NGS-WGS), Microsatellyte analysis are available. . Ad hoc protocol development and data analyses and interpretation is available on request.</v>
      </c>
      <c r="H3" s="2" t="str">
        <f ca="1">IFERROR(__xludf.DUMMYFUNCTION("""COMPUTED_VALUE"""),"End-point PCR, Real-time PCR, Sanger Sequencing, Next Generation Sequencing(NGS-WGS), Microsatellite, Molecular Biology")</f>
        <v>End-point PCR, Real-time PCR, Sanger Sequencing, Next Generation Sequencing(NGS-WGS), Microsatellite, Molecular Biology</v>
      </c>
      <c r="I3" s="2"/>
      <c r="J3" s="2"/>
      <c r="K3" s="2"/>
      <c r="L3" s="2"/>
    </row>
    <row r="4" spans="1:12" x14ac:dyDescent="0.2">
      <c r="A4" s="2" t="str">
        <f ca="1">IFERROR(__xludf.DUMMYFUNCTION("""COMPUTED_VALUE"""),"IZSPLV")</f>
        <v>IZSPLV</v>
      </c>
      <c r="B4" s="2" t="str">
        <f ca="1">IFERROR(__xludf.DUMMYFUNCTION("""COMPUTED_VALUE"""),"Experimental facilities")</f>
        <v>Experimental facilities</v>
      </c>
      <c r="C4" s="2" t="str">
        <f ca="1">IFERROR(__xludf.DUMMYFUNCTION("""COMPUTED_VALUE"""),"Wet laboratories")</f>
        <v>Wet laboratories</v>
      </c>
      <c r="D4" s="2" t="str">
        <f ca="1">IFERROR(__xludf.DUMMYFUNCTION("""COMPUTED_VALUE"""),"Necropsy-post mortem analysis and investigation laboratory for mammals and turtles")</f>
        <v>Necropsy-post mortem analysis and investigation laboratory for mammals and turtles</v>
      </c>
      <c r="E4" s="2" t="str">
        <f ca="1">IFERROR(__xludf.DUMMYFUNCTION("""COMPUTED_VALUE"""),"on-site and remote")</f>
        <v>on-site and remote</v>
      </c>
      <c r="F4" s="2" t="str">
        <f ca="1">IFERROR(__xludf.DUMMYFUNCTION("""COMPUTED_VALUE"""),"not available")</f>
        <v>not available</v>
      </c>
      <c r="G4" s="2" t="str">
        <f ca="1">IFERROR(__xludf.DUMMYFUNCTION("""COMPUTED_VALUE"""),"Expertice and post mortem diagnostic and analisys")</f>
        <v>Expertice and post mortem diagnostic and analisys</v>
      </c>
      <c r="H4" s="2" t="str">
        <f ca="1">IFERROR(__xludf.DUMMYFUNCTION("""COMPUTED_VALUE"""),"Necropsy-post mortem analysis, diagnostic, mammals, turtles")</f>
        <v>Necropsy-post mortem analysis, diagnostic, mammals, turtles</v>
      </c>
      <c r="I4" s="2"/>
      <c r="J4" s="2"/>
      <c r="K4" s="2"/>
      <c r="L4" s="2"/>
    </row>
    <row r="5" spans="1:12" x14ac:dyDescent="0.2">
      <c r="A5" s="2"/>
      <c r="B5" s="2"/>
      <c r="C5" s="2"/>
      <c r="D5" s="2"/>
      <c r="E5" s="2"/>
      <c r="F5" s="2"/>
      <c r="G5" s="2"/>
      <c r="H5" s="2"/>
      <c r="I5" s="2"/>
      <c r="J5" s="2"/>
      <c r="K5" s="2"/>
      <c r="L5" s="2"/>
    </row>
    <row r="6" spans="1:12" x14ac:dyDescent="0.2">
      <c r="A6" s="2"/>
      <c r="B6" s="2"/>
      <c r="C6" s="2"/>
      <c r="D6" s="2"/>
      <c r="E6" s="2"/>
      <c r="F6" s="2"/>
      <c r="G6" s="2"/>
      <c r="H6" s="2"/>
      <c r="I6" s="2"/>
      <c r="J6" s="2"/>
      <c r="K6" s="2"/>
      <c r="L6" s="2"/>
    </row>
    <row r="7" spans="1:12" x14ac:dyDescent="0.2">
      <c r="A7" s="2"/>
      <c r="B7" s="2"/>
      <c r="C7" s="2"/>
      <c r="D7" s="2"/>
      <c r="E7" s="2"/>
      <c r="F7" s="2"/>
      <c r="G7" s="2"/>
      <c r="H7" s="2"/>
      <c r="I7" s="2"/>
      <c r="J7" s="2"/>
      <c r="K7" s="2"/>
      <c r="L7" s="2"/>
    </row>
    <row r="8" spans="1:12" x14ac:dyDescent="0.2">
      <c r="A8" s="2"/>
      <c r="B8" s="2"/>
      <c r="C8" s="2"/>
      <c r="D8" s="2"/>
      <c r="E8" s="2"/>
      <c r="F8" s="2"/>
      <c r="G8" s="2"/>
      <c r="H8" s="2"/>
      <c r="I8" s="2"/>
      <c r="J8" s="2"/>
      <c r="K8" s="2"/>
      <c r="L8" s="2"/>
    </row>
    <row r="9" spans="1:12" x14ac:dyDescent="0.2">
      <c r="A9" s="2"/>
      <c r="B9" s="2"/>
      <c r="C9" s="2"/>
      <c r="D9" s="2"/>
      <c r="E9" s="2"/>
      <c r="F9" s="2"/>
      <c r="G9" s="2"/>
      <c r="H9" s="2"/>
      <c r="I9" s="2"/>
      <c r="J9" s="2"/>
      <c r="K9" s="2"/>
      <c r="L9" s="2"/>
    </row>
    <row r="10" spans="1:12" x14ac:dyDescent="0.2">
      <c r="A10" s="2"/>
      <c r="B10" s="2"/>
      <c r="C10" s="2"/>
      <c r="D10" s="2"/>
      <c r="E10" s="2"/>
      <c r="F10" s="2"/>
      <c r="G10" s="2"/>
      <c r="H10" s="2"/>
      <c r="I10" s="2"/>
      <c r="J10" s="2"/>
      <c r="K10" s="2"/>
      <c r="L10" s="2"/>
    </row>
    <row r="11" spans="1:12" x14ac:dyDescent="0.2">
      <c r="A11" s="2"/>
      <c r="B11" s="2"/>
      <c r="C11" s="2"/>
      <c r="D11" s="2"/>
      <c r="E11" s="2"/>
      <c r="F11" s="2"/>
      <c r="G11" s="2"/>
      <c r="H11" s="2"/>
      <c r="I11" s="2"/>
      <c r="J11" s="2"/>
      <c r="K11" s="2"/>
      <c r="L11" s="2"/>
    </row>
    <row r="12" spans="1:12" x14ac:dyDescent="0.2">
      <c r="A12" s="2"/>
      <c r="B12" s="2"/>
      <c r="C12" s="2"/>
      <c r="D12" s="2"/>
      <c r="E12" s="2"/>
      <c r="F12" s="2"/>
      <c r="G12" s="2"/>
      <c r="H12" s="2"/>
      <c r="I12" s="2"/>
      <c r="J12" s="2"/>
      <c r="K12" s="2"/>
      <c r="L12" s="2"/>
    </row>
    <row r="13" spans="1:12" x14ac:dyDescent="0.2">
      <c r="A13" s="2"/>
      <c r="B13" s="2"/>
      <c r="C13" s="2"/>
      <c r="D13" s="2"/>
      <c r="E13" s="2"/>
      <c r="F13" s="2"/>
      <c r="G13" s="2"/>
      <c r="H13" s="2"/>
      <c r="I13" s="2"/>
      <c r="J13" s="2"/>
      <c r="K13" s="2"/>
      <c r="L13" s="2"/>
    </row>
    <row r="14" spans="1:12" x14ac:dyDescent="0.2">
      <c r="A14" s="2"/>
      <c r="B14" s="2"/>
      <c r="C14" s="2"/>
      <c r="D14" s="2"/>
      <c r="E14" s="2"/>
      <c r="F14" s="2"/>
      <c r="G14" s="2"/>
      <c r="H14" s="2"/>
      <c r="I14" s="2"/>
      <c r="J14" s="2"/>
      <c r="K14" s="2"/>
      <c r="L14" s="2"/>
    </row>
    <row r="15" spans="1:12" x14ac:dyDescent="0.2">
      <c r="A15" s="2"/>
      <c r="B15" s="2"/>
      <c r="C15" s="2"/>
      <c r="D15" s="2"/>
      <c r="E15" s="2"/>
      <c r="F15" s="2"/>
      <c r="G15" s="2"/>
      <c r="H15" s="2"/>
      <c r="I15" s="2"/>
      <c r="J15" s="2"/>
      <c r="K15" s="2"/>
      <c r="L15" s="2"/>
    </row>
    <row r="16" spans="1:12"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Z1000"/>
  <sheetViews>
    <sheetView workbookViewId="0">
      <pane ySplit="1" topLeftCell="A2" activePane="bottomLeft" state="frozen"/>
      <selection pane="bottomLeft" activeCell="B3" sqref="B3"/>
    </sheetView>
  </sheetViews>
  <sheetFormatPr defaultColWidth="12.5703125" defaultRowHeight="15.75" customHeight="1" x14ac:dyDescent="0.2"/>
  <sheetData>
    <row r="1" spans="1:26" x14ac:dyDescent="0.2">
      <c r="A1" s="3" t="str">
        <f ca="1">IFERROR(__xludf.DUMMYFUNCTION("importrange(""https://docs.google.com/spreadsheets/d/1Ut8pkyOUMBx2GfQRE17YxvQ6ug0CCzYjySCtvYFus2U/edit#gid=0"", ""ENEA!A1:L"")"),"site")</f>
        <v>site</v>
      </c>
      <c r="B1" s="4" t="str">
        <f ca="1">IFERROR(__xludf.DUMMYFUNCTION("""COMPUTED_VALUE"""),"category")</f>
        <v>category</v>
      </c>
      <c r="C1" s="4" t="str">
        <f ca="1">IFERROR(__xludf.DUMMYFUNCTION("""COMPUTED_VALUE"""),"subcategory")</f>
        <v>subcategory</v>
      </c>
      <c r="D1" s="4" t="str">
        <f ca="1">IFERROR(__xludf.DUMMYFUNCTION("""COMPUTED_VALUE"""),"description of the service")</f>
        <v>description of the service</v>
      </c>
      <c r="E1" s="4" t="str">
        <f ca="1">IFERROR(__xludf.DUMMYFUNCTION("""COMPUTED_VALUE"""),"access type")</f>
        <v>access type</v>
      </c>
      <c r="F1" s="4" t="str">
        <f ca="1">IFERROR(__xludf.DUMMYFUNCTION("""COMPUTED_VALUE"""),"status")</f>
        <v>status</v>
      </c>
      <c r="G1" s="4" t="str">
        <f ca="1">IFERROR(__xludf.DUMMYFUNCTION("""COMPUTED_VALUE"""),"contextual information or expertise associated to the service")</f>
        <v>contextual information or expertise associated to the service</v>
      </c>
      <c r="H1" s="4" t="str">
        <f ca="1">IFERROR(__xludf.DUMMYFUNCTION("""COMPUTED_VALUE"""),"keywords of the service")</f>
        <v>keywords of the service</v>
      </c>
      <c r="I1" s="4" t="str">
        <f ca="1">IFERROR(__xludf.DUMMYFUNCTION("""COMPUTED_VALUE"""),"platform name")</f>
        <v>platform name</v>
      </c>
      <c r="J1" s="4" t="str">
        <f ca="1">IFERROR(__xludf.DUMMYFUNCTION("""COMPUTED_VALUE"""),"Note di Giorgio")</f>
        <v>Note di Giorgio</v>
      </c>
      <c r="K1" s="1"/>
      <c r="L1" s="1"/>
      <c r="M1" s="1"/>
      <c r="N1" s="1"/>
      <c r="O1" s="1"/>
      <c r="P1" s="1"/>
      <c r="Q1" s="1"/>
      <c r="R1" s="1"/>
      <c r="S1" s="1"/>
      <c r="T1" s="1"/>
      <c r="U1" s="1"/>
      <c r="V1" s="1"/>
      <c r="W1" s="1"/>
      <c r="X1" s="1"/>
      <c r="Y1" s="1"/>
      <c r="Z1" s="1"/>
    </row>
    <row r="2" spans="1:26" x14ac:dyDescent="0.2">
      <c r="A2" s="5" t="str">
        <f ca="1">IFERROR(__xludf.DUMMYFUNCTION("""COMPUTED_VALUE"""),"ENEA-LS")</f>
        <v>ENEA-LS</v>
      </c>
      <c r="B2" s="5" t="str">
        <f ca="1">IFERROR(__xludf.DUMMYFUNCTION("""COMPUTED_VALUE"""),"Biological resources")</f>
        <v>Biological resources</v>
      </c>
      <c r="C2" s="5" t="str">
        <f ca="1">IFERROR(__xludf.DUMMYFUNCTION("""COMPUTED_VALUE"""),"Organisms collected in the wild")</f>
        <v>Organisms collected in the wild</v>
      </c>
      <c r="D2" s="5" t="str">
        <f ca="1">IFERROR(__xludf.DUMMYFUNCTION("""COMPUTED_VALUE"""),"Access to collection of organisms in the wild")</f>
        <v>Access to collection of organisms in the wild</v>
      </c>
      <c r="E2" s="5" t="str">
        <f ca="1">IFERROR(__xludf.DUMMYFUNCTION("""COMPUTED_VALUE"""),"on-site")</f>
        <v>on-site</v>
      </c>
      <c r="F2" s="5" t="str">
        <f ca="1">IFERROR(__xludf.DUMMYFUNCTION("""COMPUTED_VALUE"""),"available")</f>
        <v>available</v>
      </c>
      <c r="G2" s="5" t="str">
        <f ca="1">IFERROR(__xludf.DUMMYFUNCTION("""COMPUTED_VALUE"""),"Collection of marine organisms in coastal marine sites (regional parks, Posidonia meadows, coralligenous habitats, intertidal habitats), impacted areas (ports), Smart Bay Santa Teresa (https://smartbaysteresa.com); Taxonomic services on marine invertebrat"&amp;"es: expertise and sample collection of Bryozoans; Taxonomic books available for other invertebrate taxa; Microscopic facilities (optical microscopy, portable USB microscope for fieldwork activities); Underwater video and photography; Drones (air and water"&amp;");Small library available for taxonomical and ecological studies of marine invertebrates")</f>
        <v>Collection of marine organisms in coastal marine sites (regional parks, Posidonia meadows, coralligenous habitats, intertidal habitats), impacted areas (ports), Smart Bay Santa Teresa (https://smartbaysteresa.com); Taxonomic services on marine invertebrates: expertise and sample collection of Bryozoans; Taxonomic books available for other invertebrate taxa; Microscopic facilities (optical microscopy, portable USB microscope for fieldwork activities); Underwater video and photography; Drones (air and water);Small library available for taxonomical and ecological studies of marine invertebrates</v>
      </c>
      <c r="H2" s="5" t="str">
        <f ca="1">IFERROR(__xludf.DUMMYFUNCTION("""COMPUTED_VALUE"""),".")</f>
        <v>.</v>
      </c>
      <c r="I2" s="5"/>
      <c r="J2" s="5"/>
      <c r="K2" s="2"/>
      <c r="L2" s="2"/>
    </row>
    <row r="3" spans="1:26" x14ac:dyDescent="0.2">
      <c r="A3" s="5" t="str">
        <f ca="1">IFERROR(__xludf.DUMMYFUNCTION("""COMPUTED_VALUE"""),"ENEA-LS")</f>
        <v>ENEA-LS</v>
      </c>
      <c r="B3" s="5" t="str">
        <f ca="1">IFERROR(__xludf.DUMMYFUNCTION("""COMPUTED_VALUE"""),"Ecosystem access")</f>
        <v>Ecosystem access</v>
      </c>
      <c r="C3" s="5" t="str">
        <f ca="1">IFERROR(__xludf.DUMMYFUNCTION("""COMPUTED_VALUE"""),"Coastal research vessels")</f>
        <v>Coastal research vessels</v>
      </c>
      <c r="D3" s="5" t="str">
        <f ca="1">IFERROR(__xludf.DUMMYFUNCTION("""COMPUTED_VALUE"""),"Access to coastal research vessels for exploration of coastal marine sites in natural areas including Natural Regional Park of Porto Venere and the islands (Palmaria, Tino)and the Cinque Terre National Park and impacted areas (La Spezia port). Access to S"&amp;"mart Bay Santa Teresa (https://smartbaysteresa.com).")</f>
        <v>Access to coastal research vessels for exploration of coastal marine sites in natural areas including Natural Regional Park of Porto Venere and the islands (Palmaria, Tino)and the Cinque Terre National Park and impacted areas (La Spezia port). Access to Smart Bay Santa Teresa (https://smartbaysteresa.com).</v>
      </c>
      <c r="E3" s="5" t="str">
        <f ca="1">IFERROR(__xludf.DUMMYFUNCTION("""COMPUTED_VALUE"""),"on-site")</f>
        <v>on-site</v>
      </c>
      <c r="F3" s="5" t="str">
        <f ca="1">IFERROR(__xludf.DUMMYFUNCTION("""COMPUTED_VALUE"""),"available")</f>
        <v>available</v>
      </c>
      <c r="G3" s="5" t="str">
        <f ca="1">IFERROR(__xludf.DUMMYFUNCTION("""COMPUTED_VALUE"""),"Available ecosystems are: natural and artificial substrates; Posidonia meadows, coralligenous habitat, marine animal forest, bioconstructionalc alcifying ecosystems, intertidal rocky shores and bio-fouling communities. Vessels are: a motorboat equipped fo"&amp;"r diving, sediment coring, grab sampling, hydrological sampling; small boat for diving and snorkeling activities and hydrological sampling. Associated sampling equipment for: hydrological parameters, sediments, benthos for hard and soft bottoms, plankton "&amp;"Diving unit equipped with compressor and tanks. Personal diving equipment can be rented at local diving centers. Diving facilities are used to access ecosystems. Diving team includes two experienced scientific and polar divers; Diving unit equipped with c"&amp;"ompressor and tanks")</f>
        <v>Available ecosystems are: natural and artificial substrates; Posidonia meadows, coralligenous habitat, marine animal forest, bioconstructionalc alcifying ecosystems, intertidal rocky shores and bio-fouling communities. Vessels are: a motorboat equipped for diving, sediment coring, grab sampling, hydrological sampling; small boat for diving and snorkeling activities and hydrological sampling. Associated sampling equipment for: hydrological parameters, sediments, benthos for hard and soft bottoms, plankton Diving unit equipped with compressor and tanks. Personal diving equipment can be rented at local diving centers. Diving facilities are used to access ecosystems. Diving team includes two experienced scientific and polar divers; Diving unit equipped with compressor and tanks</v>
      </c>
      <c r="H3" s="5"/>
      <c r="I3" s="5"/>
      <c r="J3" s="5"/>
      <c r="K3" s="2"/>
      <c r="L3" s="2"/>
    </row>
    <row r="4" spans="1:26" x14ac:dyDescent="0.2">
      <c r="A4" s="5" t="str">
        <f ca="1">IFERROR(__xludf.DUMMYFUNCTION("""COMPUTED_VALUE"""),"ENEA-LS")</f>
        <v>ENEA-LS</v>
      </c>
      <c r="B4" s="5" t="str">
        <f ca="1">IFERROR(__xludf.DUMMYFUNCTION("""COMPUTED_VALUE"""),"E-services")</f>
        <v>E-services</v>
      </c>
      <c r="C4" s="5" t="str">
        <f ca="1">IFERROR(__xludf.DUMMYFUNCTION("""COMPUTED_VALUE"""),"Data sets")</f>
        <v>Data sets</v>
      </c>
      <c r="D4" s="5" t="str">
        <f ca="1">IFERROR(__xludf.DUMMYFUNCTION("""COMPUTED_VALUE"""),"Access to physical-chemical-biological data sets for the area (Gulf of La Spezia) including those from LTER Data Macro Site IT 15 and Smart Bay Santa Teresa observatory")</f>
        <v>Access to physical-chemical-biological data sets for the area (Gulf of La Spezia) including those from LTER Data Macro Site IT 15 and Smart Bay Santa Teresa observatory</v>
      </c>
      <c r="E4" s="5" t="str">
        <f ca="1">IFERROR(__xludf.DUMMYFUNCTION("""COMPUTED_VALUE"""),"on-site and remote")</f>
        <v>on-site and remote</v>
      </c>
      <c r="F4" s="5" t="str">
        <f ca="1">IFERROR(__xludf.DUMMYFUNCTION("""COMPUTED_VALUE"""),"available")</f>
        <v>available</v>
      </c>
      <c r="G4" s="5" t="str">
        <f ca="1">IFERROR(__xludf.DUMMYFUNCTION("""COMPUTED_VALUE"""),"Access to physical-chemical-biological data sets for the area (Gulf of La Spezia) including those from LTER Data Macro Site IT 15 (Eastern Ligurian Sea, http://www.lteritalia.it/?q=siti/mar-ligure-orientale) and Smart Bay Santa Teresa observatory (in situ"&amp;" real time data acquisition and trasmission via IoUT systems)(https://smartbaysteresa.com/en/); Support on data management, data discovery and download from the main Ocean European and global infrastructures, DOI free minting services; Gamma spectrometry "&amp;"for sediment core dating and for renconstruction of recent changes in micro and macro benthic organisms in sediment samples")</f>
        <v>Access to physical-chemical-biological data sets for the area (Gulf of La Spezia) including those from LTER Data Macro Site IT 15 (Eastern Ligurian Sea, http://www.lteritalia.it/?q=siti/mar-ligure-orientale) and Smart Bay Santa Teresa observatory (in situ real time data acquisition and trasmission via IoUT systems)(https://smartbaysteresa.com/en/); Support on data management, data discovery and download from the main Ocean European and global infrastructures, DOI free minting services; Gamma spectrometry for sediment core dating and for renconstruction of recent changes in micro and macro benthic organisms in sediment samples</v>
      </c>
      <c r="H4" s="5"/>
      <c r="I4" s="5"/>
      <c r="J4" s="5"/>
      <c r="K4" s="2"/>
      <c r="L4" s="2"/>
    </row>
    <row r="5" spans="1:26" x14ac:dyDescent="0.2">
      <c r="A5" s="5" t="str">
        <f ca="1">IFERROR(__xludf.DUMMYFUNCTION("""COMPUTED_VALUE"""),"ENEA-LS")</f>
        <v>ENEA-LS</v>
      </c>
      <c r="B5" s="5" t="str">
        <f ca="1">IFERROR(__xludf.DUMMYFUNCTION("""COMPUTED_VALUE"""),"Experimental facilities")</f>
        <v>Experimental facilities</v>
      </c>
      <c r="C5" s="5" t="str">
        <f ca="1">IFERROR(__xludf.DUMMYFUNCTION("""COMPUTED_VALUE"""),"Aquaria and tanks")</f>
        <v>Aquaria and tanks</v>
      </c>
      <c r="D5" s="5" t="str">
        <f ca="1">IFERROR(__xludf.DUMMYFUNCTION("""COMPUTED_VALUE"""),"Access to aquaria (50 L) and tanks (10 L) available for manipulative experiments on coralline algae and calcifying marine invertebrates/ecosystems ")</f>
        <v xml:space="preserve">Access to aquaria (50 L) and tanks (10 L) available for manipulative experiments on coralline algae and calcifying marine invertebrates/ecosystems </v>
      </c>
      <c r="E5" s="5" t="str">
        <f ca="1">IFERROR(__xludf.DUMMYFUNCTION("""COMPUTED_VALUE"""),"on-site")</f>
        <v>on-site</v>
      </c>
      <c r="F5" s="5" t="str">
        <f ca="1">IFERROR(__xludf.DUMMYFUNCTION("""COMPUTED_VALUE"""),"available")</f>
        <v>available</v>
      </c>
      <c r="G5" s="5" t="str">
        <f ca="1">IFERROR(__xludf.DUMMYFUNCTION("""COMPUTED_VALUE"""),"Semi closed circular system (mechanic and UV water filtration; total capability approx 1500L) composed by 12 experimental tanks for manipulative experiments (by using single and/or combined variables such as pCO2, temperature, lights, oxygen,...) on marin"&amp;"e calcifying invetrebrates ; Aquaria (50 L) and tanks (10L); Climate controlled room (Thermostatic room for algal culturing and/or short manipulative experiments) available for manipulative experiments on coralline algae and calcifying marine invertebrate"&amp;"s/ecosystems; Lab for manipulative experiments on live organisms (tanks and seawater reservoir). Additionally, binocular microscopes for observation on living organisms and sorting or for taxonomical studies on recent and fossil dried organisms are availa"&amp;"ble.")</f>
        <v>Semi closed circular system (mechanic and UV water filtration; total capability approx 1500L) composed by 12 experimental tanks for manipulative experiments (by using single and/or combined variables such as pCO2, temperature, lights, oxygen,...) on marine calcifying invetrebrates ; Aquaria (50 L) and tanks (10L); Climate controlled room (Thermostatic room for algal culturing and/or short manipulative experiments) available for manipulative experiments on coralline algae and calcifying marine invertebrates/ecosystems; Lab for manipulative experiments on live organisms (tanks and seawater reservoir). Additionally, binocular microscopes for observation on living organisms and sorting or for taxonomical studies on recent and fossil dried organisms are available.</v>
      </c>
      <c r="H5" s="5"/>
      <c r="I5" s="5"/>
      <c r="J5" s="5"/>
      <c r="K5" s="2"/>
      <c r="L5" s="2"/>
    </row>
    <row r="6" spans="1:26" x14ac:dyDescent="0.2">
      <c r="A6" s="5" t="str">
        <f ca="1">IFERROR(__xludf.DUMMYFUNCTION("""COMPUTED_VALUE"""),"ENEA-LS")</f>
        <v>ENEA-LS</v>
      </c>
      <c r="B6" s="5" t="str">
        <f ca="1">IFERROR(__xludf.DUMMYFUNCTION("""COMPUTED_VALUE"""),"Technology platforms")</f>
        <v>Technology platforms</v>
      </c>
      <c r="C6" s="5" t="str">
        <f ca="1">IFERROR(__xludf.DUMMYFUNCTION("""COMPUTED_VALUE"""),"Structural and Chemical Analysis")</f>
        <v>Structural and Chemical Analysis</v>
      </c>
      <c r="D6" s="5" t="str">
        <f ca="1">IFERROR(__xludf.DUMMYFUNCTION("""COMPUTED_VALUE"""),"Access to radioecology and geochronology technological platform, including gamma spectrometry for sediment core dating and for renconstruction of recent changes in micro and macro benthic organisms in sediment samples")</f>
        <v>Access to radioecology and geochronology technological platform, including gamma spectrometry for sediment core dating and for renconstruction of recent changes in micro and macro benthic organisms in sediment samples</v>
      </c>
      <c r="E6" s="5" t="str">
        <f ca="1">IFERROR(__xludf.DUMMYFUNCTION("""COMPUTED_VALUE"""),"on-site")</f>
        <v>on-site</v>
      </c>
      <c r="F6" s="5" t="str">
        <f ca="1">IFERROR(__xludf.DUMMYFUNCTION("""COMPUTED_VALUE"""),"available")</f>
        <v>available</v>
      </c>
      <c r="G6" s="5"/>
      <c r="H6" s="5"/>
      <c r="I6" s="5"/>
      <c r="J6" s="5"/>
      <c r="K6" s="2"/>
      <c r="L6" s="2"/>
    </row>
    <row r="7" spans="1:26" x14ac:dyDescent="0.2">
      <c r="A7" s="5" t="str">
        <f ca="1">IFERROR(__xludf.DUMMYFUNCTION("""COMPUTED_VALUE"""),"ENEA-NA")</f>
        <v>ENEA-NA</v>
      </c>
      <c r="B7" s="5" t="str">
        <f ca="1">IFERROR(__xludf.DUMMYFUNCTION("""COMPUTED_VALUE"""),"Technology platforms")</f>
        <v>Technology platforms</v>
      </c>
      <c r="C7" s="5" t="str">
        <f ca="1">IFERROR(__xludf.DUMMYFUNCTION("""COMPUTED_VALUE"""),"Structural and Chemical Analysis")</f>
        <v>Structural and Chemical Analysis</v>
      </c>
      <c r="D7" s="5" t="str">
        <f ca="1">IFERROR(__xludf.DUMMYFUNCTION("""COMPUTED_VALUE"""),"Access to sedimentology facilities and support for  and  benchtop instrumentation for granulometric analyses")</f>
        <v>Access to sedimentology facilities and support for  and  benchtop instrumentation for granulometric analyses</v>
      </c>
      <c r="E7" s="5" t="str">
        <f ca="1">IFERROR(__xludf.DUMMYFUNCTION("""COMPUTED_VALUE"""),"on-site")</f>
        <v>on-site</v>
      </c>
      <c r="F7" s="5" t="str">
        <f ca="1">IFERROR(__xludf.DUMMYFUNCTION("""COMPUTED_VALUE"""),"available")</f>
        <v>available</v>
      </c>
      <c r="G7" s="5"/>
      <c r="H7" s="5"/>
      <c r="I7" s="5"/>
      <c r="J7" s="5"/>
      <c r="K7" s="2"/>
      <c r="L7" s="2"/>
    </row>
    <row r="8" spans="1:26" x14ac:dyDescent="0.2">
      <c r="A8" s="5" t="str">
        <f ca="1">IFERROR(__xludf.DUMMYFUNCTION("""COMPUTED_VALUE"""),"ENEA-NA")</f>
        <v>ENEA-NA</v>
      </c>
      <c r="B8" s="5" t="str">
        <f ca="1">IFERROR(__xludf.DUMMYFUNCTION("""COMPUTED_VALUE"""),"Technology platforms")</f>
        <v>Technology platforms</v>
      </c>
      <c r="C8" s="5" t="str">
        <f ca="1">IFERROR(__xludf.DUMMYFUNCTION("""COMPUTED_VALUE"""),"Bioassays")</f>
        <v>Bioassays</v>
      </c>
      <c r="D8" s="5" t="str">
        <f ca="1">IFERROR(__xludf.DUMMYFUNCTION("""COMPUTED_VALUE"""),"Access to ecotoxicology platform for bioassay with marine microalgae,  marine crustracea (chronic and actute), echinoderms (semichronic and acute) and bioluminescent bacteria on water and sediment matrices")</f>
        <v>Access to ecotoxicology platform for bioassay with marine microalgae,  marine crustracea (chronic and actute), echinoderms (semichronic and acute) and bioluminescent bacteria on water and sediment matrices</v>
      </c>
      <c r="E8" s="5" t="str">
        <f ca="1">IFERROR(__xludf.DUMMYFUNCTION("""COMPUTED_VALUE"""),"on-site")</f>
        <v>on-site</v>
      </c>
      <c r="F8" s="5" t="str">
        <f ca="1">IFERROR(__xludf.DUMMYFUNCTION("""COMPUTED_VALUE"""),"available")</f>
        <v>available</v>
      </c>
      <c r="G8" s="5" t="str">
        <f ca="1">IFERROR(__xludf.DUMMYFUNCTION("""COMPUTED_VALUE"""),"Ecotoxicological bioassays can be performed on algae, bacteria, crustacea, echinodermi, mitili.")</f>
        <v>Ecotoxicological bioassays can be performed on algae, bacteria, crustacea, echinodermi, mitili.</v>
      </c>
      <c r="H8" s="5"/>
      <c r="I8" s="5"/>
      <c r="J8" s="5"/>
      <c r="K8" s="2"/>
      <c r="L8" s="2"/>
    </row>
    <row r="9" spans="1:26" x14ac:dyDescent="0.2">
      <c r="A9" s="2" t="str">
        <f ca="1">IFERROR(__xludf.DUMMYFUNCTION("""COMPUTED_VALUE"""),"ENEA-LS")</f>
        <v>ENEA-LS</v>
      </c>
      <c r="B9" s="2" t="str">
        <f ca="1">IFERROR(__xludf.DUMMYFUNCTION("""COMPUTED_VALUE"""),"Technology platforms")</f>
        <v>Technology platforms</v>
      </c>
      <c r="C9" s="2" t="str">
        <f ca="1">IFERROR(__xludf.DUMMYFUNCTION("""COMPUTED_VALUE"""),"Remote sensing and telemetry")</f>
        <v>Remote sensing and telemetry</v>
      </c>
      <c r="D9" s="2" t="str">
        <f ca="1">IFERROR(__xludf.DUMMYFUNCTION("""COMPUTED_VALUE"""),"High-resolution monitoring stations (4) located in mullsk farming in the Gulf of La Spezia. In-situ high resolution multy proxy probes aquiring physico-chemical data (i.e., temperature, pH, pCO2, oxygen,..) and adata validation via analytical facilities ("&amp;"carbonate environment, oxygen and chlorphyll)")</f>
        <v>High-resolution monitoring stations (4) located in mullsk farming in the Gulf of La Spezia. In-situ high resolution multy proxy probes aquiring physico-chemical data (i.e., temperature, pH, pCO2, oxygen,..) and adata validation via analytical facilities (carbonate environment, oxygen and chlorphyll)</v>
      </c>
      <c r="E9" s="2" t="str">
        <f ca="1">IFERROR(__xludf.DUMMYFUNCTION("""COMPUTED_VALUE"""),"on-site and remote")</f>
        <v>on-site and remote</v>
      </c>
      <c r="F9" s="2" t="str">
        <f ca="1">IFERROR(__xludf.DUMMYFUNCTION("""COMPUTED_VALUE"""),"available")</f>
        <v>available</v>
      </c>
      <c r="G9" s="2"/>
      <c r="H9" s="2"/>
      <c r="I9" s="2"/>
      <c r="J9" s="2" t="str">
        <f ca="1">IFERROR(__xludf.DUMMYFUNCTION("""COMPUTED_VALUE"""),"NOT COSTED")</f>
        <v>NOT COSTED</v>
      </c>
      <c r="K9" s="2"/>
      <c r="L9" s="2"/>
    </row>
    <row r="10" spans="1:26" x14ac:dyDescent="0.2">
      <c r="A10" s="2" t="str">
        <f ca="1">IFERROR(__xludf.DUMMYFUNCTION("""COMPUTED_VALUE"""),"ENEA-LS")</f>
        <v>ENEA-LS</v>
      </c>
      <c r="B10" s="2" t="str">
        <f ca="1">IFERROR(__xludf.DUMMYFUNCTION("""COMPUTED_VALUE"""),"Biological resources")</f>
        <v>Biological resources</v>
      </c>
      <c r="C10" s="2" t="str">
        <f ca="1">IFERROR(__xludf.DUMMYFUNCTION("""COMPUTED_VALUE"""),"Rearing of aquaculture animals")</f>
        <v>Rearing of aquaculture animals</v>
      </c>
      <c r="D10" s="2" t="str">
        <f ca="1">IFERROR(__xludf.DUMMYFUNCTION("""COMPUTED_VALUE"""),"Natural Bay (Baia S. Teresa) - in proximity of the mollusk aquaculture - for in situ sperimentation (short experiments). Scuba diving facilities (tanks and compressor for refill) available and boat.")</f>
        <v>Natural Bay (Baia S. Teresa) - in proximity of the mollusk aquaculture - for in situ sperimentation (short experiments). Scuba diving facilities (tanks and compressor for refill) available and boat.</v>
      </c>
      <c r="E10" s="2" t="str">
        <f ca="1">IFERROR(__xludf.DUMMYFUNCTION("""COMPUTED_VALUE"""),"on-site and remote")</f>
        <v>on-site and remote</v>
      </c>
      <c r="F10" s="2" t="str">
        <f ca="1">IFERROR(__xludf.DUMMYFUNCTION("""COMPUTED_VALUE"""),"available")</f>
        <v>available</v>
      </c>
      <c r="G10" s="2"/>
      <c r="H10" s="2"/>
      <c r="I10" s="2"/>
      <c r="J10" s="2" t="str">
        <f ca="1">IFERROR(__xludf.DUMMYFUNCTION("""COMPUTED_VALUE"""),"NOT COSTED")</f>
        <v>NOT COSTED</v>
      </c>
      <c r="K10" s="2"/>
      <c r="L10" s="2"/>
    </row>
    <row r="11" spans="1:26" x14ac:dyDescent="0.2">
      <c r="A11" s="2"/>
      <c r="B11" s="2"/>
      <c r="C11" s="2"/>
      <c r="D11" s="2"/>
      <c r="E11" s="2"/>
      <c r="F11" s="2"/>
      <c r="G11" s="2"/>
      <c r="H11" s="2"/>
      <c r="I11" s="2"/>
      <c r="J11" s="2"/>
      <c r="K11" s="2"/>
      <c r="L11" s="2"/>
    </row>
    <row r="12" spans="1:26" x14ac:dyDescent="0.2">
      <c r="A12" s="2"/>
      <c r="B12" s="2"/>
      <c r="C12" s="2"/>
      <c r="D12" s="2"/>
      <c r="E12" s="2"/>
      <c r="F12" s="2"/>
      <c r="G12" s="2"/>
      <c r="H12" s="2"/>
      <c r="I12" s="2"/>
      <c r="J12" s="2"/>
      <c r="K12" s="2"/>
      <c r="L12" s="2"/>
    </row>
    <row r="13" spans="1:26" x14ac:dyDescent="0.2">
      <c r="A13" s="2"/>
      <c r="B13" s="2"/>
      <c r="C13" s="2"/>
      <c r="D13" s="2"/>
      <c r="E13" s="2"/>
      <c r="F13" s="2"/>
      <c r="G13" s="2"/>
      <c r="H13" s="2"/>
      <c r="I13" s="2"/>
      <c r="J13" s="2"/>
      <c r="K13" s="2"/>
      <c r="L13" s="2"/>
    </row>
    <row r="14" spans="1:26" x14ac:dyDescent="0.2">
      <c r="A14" s="2"/>
      <c r="B14" s="2"/>
      <c r="C14" s="2"/>
      <c r="D14" s="2"/>
      <c r="E14" s="2"/>
      <c r="F14" s="2"/>
      <c r="G14" s="2"/>
      <c r="H14" s="2"/>
      <c r="I14" s="2"/>
      <c r="J14" s="2"/>
      <c r="K14" s="2"/>
      <c r="L14" s="2"/>
    </row>
    <row r="15" spans="1:26" x14ac:dyDescent="0.2">
      <c r="A15" s="2"/>
      <c r="B15" s="2"/>
      <c r="C15" s="2"/>
      <c r="D15" s="2"/>
      <c r="E15" s="2"/>
      <c r="F15" s="2"/>
      <c r="G15" s="2"/>
      <c r="H15" s="2"/>
      <c r="I15" s="2"/>
      <c r="J15" s="2"/>
      <c r="K15" s="2"/>
      <c r="L15" s="2"/>
    </row>
    <row r="16" spans="1:26" x14ac:dyDescent="0.2">
      <c r="A16" s="2"/>
      <c r="B16" s="2"/>
      <c r="C16" s="2"/>
      <c r="D16" s="2"/>
      <c r="E16" s="2"/>
      <c r="F16" s="2"/>
      <c r="G16" s="2"/>
      <c r="H16" s="2"/>
      <c r="I16" s="2"/>
      <c r="J16" s="2"/>
      <c r="K16" s="2"/>
      <c r="L16" s="2"/>
    </row>
    <row r="17" spans="1:12" x14ac:dyDescent="0.2">
      <c r="A17" s="2"/>
      <c r="B17" s="2"/>
      <c r="C17" s="2"/>
      <c r="D17" s="2"/>
      <c r="E17" s="2"/>
      <c r="F17" s="2"/>
      <c r="G17" s="2"/>
      <c r="H17" s="2"/>
      <c r="I17" s="2"/>
      <c r="J17" s="2"/>
      <c r="K17" s="2"/>
      <c r="L17" s="2"/>
    </row>
    <row r="18" spans="1:12" x14ac:dyDescent="0.2">
      <c r="A18" s="2"/>
      <c r="B18" s="2"/>
      <c r="C18" s="2"/>
      <c r="D18" s="2"/>
      <c r="E18" s="2"/>
      <c r="F18" s="2"/>
      <c r="G18" s="2"/>
      <c r="H18" s="2"/>
      <c r="I18" s="2"/>
      <c r="J18" s="2"/>
      <c r="K18" s="2"/>
      <c r="L18" s="2"/>
    </row>
    <row r="19" spans="1:12" x14ac:dyDescent="0.2">
      <c r="A19" s="2"/>
      <c r="B19" s="2"/>
      <c r="C19" s="2"/>
      <c r="D19" s="2"/>
      <c r="E19" s="2"/>
      <c r="F19" s="2"/>
      <c r="G19" s="2"/>
      <c r="H19" s="2"/>
      <c r="I19" s="2"/>
      <c r="J19" s="2"/>
      <c r="K19" s="2"/>
      <c r="L19" s="2"/>
    </row>
    <row r="20" spans="1:12" x14ac:dyDescent="0.2">
      <c r="A20" s="2"/>
      <c r="B20" s="2"/>
      <c r="C20" s="2"/>
      <c r="D20" s="2"/>
      <c r="E20" s="2"/>
      <c r="F20" s="2"/>
      <c r="G20" s="2"/>
      <c r="H20" s="2"/>
      <c r="I20" s="2"/>
      <c r="J20" s="2"/>
      <c r="K20" s="2"/>
      <c r="L20" s="2"/>
    </row>
    <row r="21" spans="1:12" x14ac:dyDescent="0.2">
      <c r="A21" s="2"/>
      <c r="B21" s="2"/>
      <c r="C21" s="2"/>
      <c r="D21" s="2"/>
      <c r="E21" s="2"/>
      <c r="F21" s="2"/>
      <c r="G21" s="2"/>
      <c r="H21" s="2"/>
      <c r="I21" s="2"/>
      <c r="J21" s="2"/>
      <c r="K21" s="2"/>
      <c r="L21" s="2"/>
    </row>
    <row r="22" spans="1:12" x14ac:dyDescent="0.2">
      <c r="A22" s="2"/>
      <c r="B22" s="2"/>
      <c r="C22" s="2"/>
      <c r="D22" s="2"/>
      <c r="E22" s="2"/>
      <c r="F22" s="2"/>
      <c r="G22" s="2"/>
      <c r="H22" s="2"/>
      <c r="I22" s="2"/>
      <c r="J22" s="2"/>
      <c r="K22" s="2"/>
      <c r="L22" s="2"/>
    </row>
    <row r="23" spans="1:12" x14ac:dyDescent="0.2">
      <c r="A23" s="2"/>
      <c r="B23" s="2"/>
      <c r="C23" s="2"/>
      <c r="D23" s="2"/>
      <c r="E23" s="2"/>
      <c r="F23" s="2"/>
      <c r="G23" s="2"/>
      <c r="H23" s="2"/>
      <c r="I23" s="2"/>
      <c r="J23" s="2"/>
      <c r="K23" s="2"/>
      <c r="L23" s="2"/>
    </row>
    <row r="24" spans="1:12" x14ac:dyDescent="0.2">
      <c r="A24" s="2"/>
      <c r="B24" s="2"/>
      <c r="C24" s="2"/>
      <c r="D24" s="2"/>
      <c r="E24" s="2"/>
      <c r="F24" s="2"/>
      <c r="G24" s="2"/>
      <c r="H24" s="2"/>
      <c r="I24" s="2"/>
      <c r="J24" s="2"/>
      <c r="K24" s="2"/>
      <c r="L24" s="2"/>
    </row>
    <row r="25" spans="1:12" x14ac:dyDescent="0.2">
      <c r="A25" s="2"/>
      <c r="B25" s="2"/>
      <c r="C25" s="2"/>
      <c r="D25" s="2"/>
      <c r="E25" s="2"/>
      <c r="F25" s="2"/>
      <c r="G25" s="2"/>
      <c r="H25" s="2"/>
      <c r="I25" s="2"/>
      <c r="J25" s="2"/>
      <c r="K25" s="2"/>
      <c r="L25" s="2"/>
    </row>
    <row r="26" spans="1:12" x14ac:dyDescent="0.2">
      <c r="A26" s="2"/>
      <c r="B26" s="2"/>
      <c r="C26" s="2"/>
      <c r="D26" s="2"/>
      <c r="E26" s="2"/>
      <c r="F26" s="2"/>
      <c r="G26" s="2"/>
      <c r="H26" s="2"/>
      <c r="I26" s="2"/>
      <c r="J26" s="2"/>
      <c r="K26" s="2"/>
      <c r="L26" s="2"/>
    </row>
    <row r="27" spans="1:12" x14ac:dyDescent="0.2">
      <c r="A27" s="2"/>
      <c r="B27" s="2"/>
      <c r="C27" s="2"/>
      <c r="D27" s="2"/>
      <c r="E27" s="2"/>
      <c r="F27" s="2"/>
      <c r="G27" s="2"/>
      <c r="H27" s="2"/>
      <c r="I27" s="2"/>
      <c r="J27" s="2"/>
      <c r="K27" s="2"/>
      <c r="L27" s="2"/>
    </row>
    <row r="28" spans="1:12" x14ac:dyDescent="0.2">
      <c r="A28" s="2"/>
      <c r="B28" s="2"/>
      <c r="C28" s="2"/>
      <c r="D28" s="2"/>
      <c r="E28" s="2"/>
      <c r="F28" s="2"/>
      <c r="G28" s="2"/>
      <c r="H28" s="2"/>
      <c r="I28" s="2"/>
      <c r="J28" s="2"/>
      <c r="K28" s="2"/>
      <c r="L28" s="2"/>
    </row>
    <row r="29" spans="1:12" x14ac:dyDescent="0.2">
      <c r="A29" s="2"/>
      <c r="B29" s="2"/>
      <c r="C29" s="2"/>
      <c r="D29" s="2"/>
      <c r="E29" s="2"/>
      <c r="F29" s="2"/>
      <c r="G29" s="2"/>
      <c r="H29" s="2"/>
      <c r="I29" s="2"/>
      <c r="J29" s="2"/>
      <c r="K29" s="2"/>
      <c r="L29" s="2"/>
    </row>
    <row r="30" spans="1:12" x14ac:dyDescent="0.2">
      <c r="A30" s="2"/>
      <c r="B30" s="2"/>
      <c r="C30" s="2"/>
      <c r="D30" s="2"/>
      <c r="E30" s="2"/>
      <c r="F30" s="2"/>
      <c r="G30" s="2"/>
      <c r="H30" s="2"/>
      <c r="I30" s="2"/>
      <c r="J30" s="2"/>
      <c r="K30" s="2"/>
      <c r="L30" s="2"/>
    </row>
    <row r="31" spans="1:12" x14ac:dyDescent="0.2">
      <c r="A31" s="2"/>
      <c r="B31" s="2"/>
      <c r="C31" s="2"/>
      <c r="D31" s="2"/>
      <c r="E31" s="2"/>
      <c r="F31" s="2"/>
      <c r="G31" s="2"/>
      <c r="H31" s="2"/>
      <c r="I31" s="2"/>
      <c r="J31" s="2"/>
      <c r="K31" s="2"/>
      <c r="L31" s="2"/>
    </row>
    <row r="32" spans="1:12" x14ac:dyDescent="0.2">
      <c r="A32" s="2"/>
      <c r="B32" s="2"/>
      <c r="C32" s="2"/>
      <c r="D32" s="2"/>
      <c r="E32" s="2"/>
      <c r="F32" s="2"/>
      <c r="G32" s="2"/>
      <c r="H32" s="2"/>
      <c r="I32" s="2"/>
      <c r="J32" s="2"/>
      <c r="K32" s="2"/>
      <c r="L32" s="2"/>
    </row>
    <row r="33" spans="1:12" x14ac:dyDescent="0.2">
      <c r="A33" s="2"/>
      <c r="B33" s="2"/>
      <c r="C33" s="2"/>
      <c r="D33" s="2"/>
      <c r="E33" s="2"/>
      <c r="F33" s="2"/>
      <c r="G33" s="2"/>
      <c r="H33" s="2"/>
      <c r="I33" s="2"/>
      <c r="J33" s="2"/>
      <c r="K33" s="2"/>
      <c r="L33" s="2"/>
    </row>
    <row r="34" spans="1:12" x14ac:dyDescent="0.2">
      <c r="A34" s="2"/>
      <c r="B34" s="2"/>
      <c r="C34" s="2"/>
      <c r="D34" s="2"/>
      <c r="E34" s="2"/>
      <c r="F34" s="2"/>
      <c r="G34" s="2"/>
      <c r="H34" s="2"/>
      <c r="I34" s="2"/>
      <c r="J34" s="2"/>
      <c r="K34" s="2"/>
      <c r="L34" s="2"/>
    </row>
    <row r="35" spans="1:12" x14ac:dyDescent="0.2">
      <c r="A35" s="2"/>
      <c r="B35" s="2"/>
      <c r="C35" s="2"/>
      <c r="D35" s="2"/>
      <c r="E35" s="2"/>
      <c r="F35" s="2"/>
      <c r="G35" s="2"/>
      <c r="H35" s="2"/>
      <c r="I35" s="2"/>
      <c r="J35" s="2"/>
      <c r="K35" s="2"/>
      <c r="L35" s="2"/>
    </row>
    <row r="36" spans="1:12" x14ac:dyDescent="0.2">
      <c r="A36" s="2"/>
      <c r="B36" s="2"/>
      <c r="C36" s="2"/>
      <c r="D36" s="2"/>
      <c r="E36" s="2"/>
      <c r="F36" s="2"/>
      <c r="G36" s="2"/>
      <c r="H36" s="2"/>
      <c r="I36" s="2"/>
      <c r="J36" s="2"/>
      <c r="K36" s="2"/>
      <c r="L36" s="2"/>
    </row>
    <row r="37" spans="1:12" x14ac:dyDescent="0.2">
      <c r="A37" s="2"/>
      <c r="B37" s="2"/>
      <c r="C37" s="2"/>
      <c r="D37" s="2"/>
      <c r="E37" s="2"/>
      <c r="F37" s="2"/>
      <c r="G37" s="2"/>
      <c r="H37" s="2"/>
      <c r="I37" s="2"/>
      <c r="J37" s="2"/>
      <c r="K37" s="2"/>
      <c r="L37" s="2"/>
    </row>
    <row r="38" spans="1:12" x14ac:dyDescent="0.2">
      <c r="A38" s="2"/>
      <c r="B38" s="2"/>
      <c r="C38" s="2"/>
      <c r="D38" s="2"/>
      <c r="E38" s="2"/>
      <c r="F38" s="2"/>
      <c r="G38" s="2"/>
      <c r="H38" s="2"/>
      <c r="I38" s="2"/>
      <c r="J38" s="2"/>
      <c r="K38" s="2"/>
      <c r="L38" s="2"/>
    </row>
    <row r="39" spans="1:12" x14ac:dyDescent="0.2">
      <c r="A39" s="2"/>
      <c r="B39" s="2"/>
      <c r="C39" s="2"/>
      <c r="D39" s="2"/>
      <c r="E39" s="2"/>
      <c r="F39" s="2"/>
      <c r="G39" s="2"/>
      <c r="H39" s="2"/>
      <c r="I39" s="2"/>
      <c r="J39" s="2"/>
      <c r="K39" s="2"/>
      <c r="L39" s="2"/>
    </row>
    <row r="40" spans="1:12" x14ac:dyDescent="0.2">
      <c r="A40" s="2"/>
      <c r="B40" s="2"/>
      <c r="C40" s="2"/>
      <c r="D40" s="2"/>
      <c r="E40" s="2"/>
      <c r="F40" s="2"/>
      <c r="G40" s="2"/>
      <c r="H40" s="2"/>
      <c r="I40" s="2"/>
      <c r="J40" s="2"/>
      <c r="K40" s="2"/>
      <c r="L40" s="2"/>
    </row>
    <row r="41" spans="1:12" x14ac:dyDescent="0.2">
      <c r="A41" s="2"/>
      <c r="B41" s="2"/>
      <c r="C41" s="2"/>
      <c r="D41" s="2"/>
      <c r="E41" s="2"/>
      <c r="F41" s="2"/>
      <c r="G41" s="2"/>
      <c r="H41" s="2"/>
      <c r="I41" s="2"/>
      <c r="J41" s="2"/>
      <c r="K41" s="2"/>
      <c r="L41" s="2"/>
    </row>
    <row r="42" spans="1:12" x14ac:dyDescent="0.2">
      <c r="A42" s="2"/>
      <c r="B42" s="2"/>
      <c r="C42" s="2"/>
      <c r="D42" s="2"/>
      <c r="E42" s="2"/>
      <c r="F42" s="2"/>
      <c r="G42" s="2"/>
      <c r="H42" s="2"/>
      <c r="I42" s="2"/>
      <c r="J42" s="2"/>
      <c r="K42" s="2"/>
      <c r="L42" s="2"/>
    </row>
    <row r="43" spans="1:12" x14ac:dyDescent="0.2">
      <c r="A43" s="2"/>
      <c r="B43" s="2"/>
      <c r="C43" s="2"/>
      <c r="D43" s="2"/>
      <c r="E43" s="2"/>
      <c r="F43" s="2"/>
      <c r="G43" s="2"/>
      <c r="H43" s="2"/>
      <c r="I43" s="2"/>
      <c r="J43" s="2"/>
      <c r="K43" s="2"/>
      <c r="L43" s="2"/>
    </row>
    <row r="44" spans="1:12" x14ac:dyDescent="0.2">
      <c r="A44" s="2"/>
      <c r="B44" s="2"/>
      <c r="C44" s="2"/>
      <c r="D44" s="2"/>
      <c r="E44" s="2"/>
      <c r="F44" s="2"/>
      <c r="G44" s="2"/>
      <c r="H44" s="2"/>
      <c r="I44" s="2"/>
      <c r="J44" s="2"/>
      <c r="K44" s="2"/>
      <c r="L44" s="2"/>
    </row>
    <row r="45" spans="1:12" x14ac:dyDescent="0.2">
      <c r="A45" s="2"/>
      <c r="B45" s="2"/>
      <c r="C45" s="2"/>
      <c r="D45" s="2"/>
      <c r="E45" s="2"/>
      <c r="F45" s="2"/>
      <c r="G45" s="2"/>
      <c r="H45" s="2"/>
      <c r="I45" s="2"/>
      <c r="J45" s="2"/>
      <c r="K45" s="2"/>
      <c r="L45" s="2"/>
    </row>
    <row r="46" spans="1:12" x14ac:dyDescent="0.2">
      <c r="A46" s="2"/>
      <c r="B46" s="2"/>
      <c r="C46" s="2"/>
      <c r="D46" s="2"/>
      <c r="E46" s="2"/>
      <c r="F46" s="2"/>
      <c r="G46" s="2"/>
      <c r="H46" s="2"/>
      <c r="I46" s="2"/>
      <c r="J46" s="2"/>
      <c r="K46" s="2"/>
      <c r="L46" s="2"/>
    </row>
    <row r="47" spans="1:12" x14ac:dyDescent="0.2">
      <c r="A47" s="2"/>
      <c r="B47" s="2"/>
      <c r="C47" s="2"/>
      <c r="D47" s="2"/>
      <c r="E47" s="2"/>
      <c r="F47" s="2"/>
      <c r="G47" s="2"/>
      <c r="H47" s="2"/>
      <c r="I47" s="2"/>
      <c r="J47" s="2"/>
      <c r="K47" s="2"/>
      <c r="L47" s="2"/>
    </row>
    <row r="48" spans="1:12" x14ac:dyDescent="0.2">
      <c r="A48" s="2"/>
      <c r="B48" s="2"/>
      <c r="C48" s="2"/>
      <c r="D48" s="2"/>
      <c r="E48" s="2"/>
      <c r="F48" s="2"/>
      <c r="G48" s="2"/>
      <c r="H48" s="2"/>
      <c r="I48" s="2"/>
      <c r="J48" s="2"/>
      <c r="K48" s="2"/>
      <c r="L48" s="2"/>
    </row>
    <row r="49" spans="1:12" x14ac:dyDescent="0.2">
      <c r="A49" s="2"/>
      <c r="B49" s="2"/>
      <c r="C49" s="2"/>
      <c r="D49" s="2"/>
      <c r="E49" s="2"/>
      <c r="F49" s="2"/>
      <c r="G49" s="2"/>
      <c r="H49" s="2"/>
      <c r="I49" s="2"/>
      <c r="J49" s="2"/>
      <c r="K49" s="2"/>
      <c r="L49" s="2"/>
    </row>
    <row r="50" spans="1:12" x14ac:dyDescent="0.2">
      <c r="A50" s="2"/>
      <c r="B50" s="2"/>
      <c r="C50" s="2"/>
      <c r="D50" s="2"/>
      <c r="E50" s="2"/>
      <c r="F50" s="2"/>
      <c r="G50" s="2"/>
      <c r="H50" s="2"/>
      <c r="I50" s="2"/>
      <c r="J50" s="2"/>
      <c r="K50" s="2"/>
      <c r="L50" s="2"/>
    </row>
    <row r="51" spans="1:12" x14ac:dyDescent="0.2">
      <c r="A51" s="2"/>
      <c r="B51" s="2"/>
      <c r="C51" s="2"/>
      <c r="D51" s="2"/>
      <c r="E51" s="2"/>
      <c r="F51" s="2"/>
      <c r="G51" s="2"/>
      <c r="H51" s="2"/>
      <c r="I51" s="2"/>
      <c r="J51" s="2"/>
      <c r="K51" s="2"/>
      <c r="L51" s="2"/>
    </row>
    <row r="52" spans="1:12" x14ac:dyDescent="0.2">
      <c r="A52" s="2"/>
      <c r="B52" s="2"/>
      <c r="C52" s="2"/>
      <c r="D52" s="2"/>
      <c r="E52" s="2"/>
      <c r="F52" s="2"/>
      <c r="G52" s="2"/>
      <c r="H52" s="2"/>
      <c r="I52" s="2"/>
      <c r="J52" s="2"/>
      <c r="K52" s="2"/>
      <c r="L52" s="2"/>
    </row>
    <row r="53" spans="1:12" x14ac:dyDescent="0.2">
      <c r="A53" s="2"/>
      <c r="B53" s="2"/>
      <c r="C53" s="2"/>
      <c r="D53" s="2"/>
      <c r="E53" s="2"/>
      <c r="F53" s="2"/>
      <c r="G53" s="2"/>
      <c r="H53" s="2"/>
      <c r="I53" s="2"/>
      <c r="J53" s="2"/>
      <c r="K53" s="2"/>
      <c r="L53" s="2"/>
    </row>
    <row r="54" spans="1:12" x14ac:dyDescent="0.2">
      <c r="A54" s="2"/>
      <c r="B54" s="2"/>
      <c r="C54" s="2"/>
      <c r="D54" s="2"/>
      <c r="E54" s="2"/>
      <c r="F54" s="2"/>
      <c r="G54" s="2"/>
      <c r="H54" s="2"/>
      <c r="I54" s="2"/>
      <c r="J54" s="2"/>
      <c r="K54" s="2"/>
      <c r="L54" s="2"/>
    </row>
    <row r="55" spans="1:12" x14ac:dyDescent="0.2">
      <c r="A55" s="2"/>
      <c r="B55" s="2"/>
      <c r="C55" s="2"/>
      <c r="D55" s="2"/>
      <c r="E55" s="2"/>
      <c r="F55" s="2"/>
      <c r="G55" s="2"/>
      <c r="H55" s="2"/>
      <c r="I55" s="2"/>
      <c r="J55" s="2"/>
      <c r="K55" s="2"/>
      <c r="L55" s="2"/>
    </row>
    <row r="56" spans="1:12" x14ac:dyDescent="0.2">
      <c r="A56" s="2"/>
      <c r="B56" s="2"/>
      <c r="C56" s="2"/>
      <c r="D56" s="2"/>
      <c r="E56" s="2"/>
      <c r="F56" s="2"/>
      <c r="G56" s="2"/>
      <c r="H56" s="2"/>
      <c r="I56" s="2"/>
      <c r="J56" s="2"/>
      <c r="K56" s="2"/>
      <c r="L56" s="2"/>
    </row>
    <row r="57" spans="1:12" x14ac:dyDescent="0.2">
      <c r="A57" s="2"/>
      <c r="B57" s="2"/>
      <c r="C57" s="2"/>
      <c r="D57" s="2"/>
      <c r="E57" s="2"/>
      <c r="F57" s="2"/>
      <c r="G57" s="2"/>
      <c r="H57" s="2"/>
      <c r="I57" s="2"/>
      <c r="J57" s="2"/>
      <c r="K57" s="2"/>
      <c r="L57" s="2"/>
    </row>
    <row r="58" spans="1:12" x14ac:dyDescent="0.2">
      <c r="A58" s="2"/>
      <c r="B58" s="2"/>
      <c r="C58" s="2"/>
      <c r="D58" s="2"/>
      <c r="E58" s="2"/>
      <c r="F58" s="2"/>
      <c r="G58" s="2"/>
      <c r="H58" s="2"/>
      <c r="I58" s="2"/>
      <c r="J58" s="2"/>
      <c r="K58" s="2"/>
      <c r="L58" s="2"/>
    </row>
    <row r="59" spans="1:12" x14ac:dyDescent="0.2">
      <c r="A59" s="2"/>
      <c r="B59" s="2"/>
      <c r="C59" s="2"/>
      <c r="D59" s="2"/>
      <c r="E59" s="2"/>
      <c r="F59" s="2"/>
      <c r="G59" s="2"/>
      <c r="H59" s="2"/>
      <c r="I59" s="2"/>
      <c r="J59" s="2"/>
      <c r="K59" s="2"/>
      <c r="L59" s="2"/>
    </row>
    <row r="60" spans="1:12" x14ac:dyDescent="0.2">
      <c r="A60" s="2"/>
      <c r="B60" s="2"/>
      <c r="C60" s="2"/>
      <c r="D60" s="2"/>
      <c r="E60" s="2"/>
      <c r="F60" s="2"/>
      <c r="G60" s="2"/>
      <c r="H60" s="2"/>
      <c r="I60" s="2"/>
      <c r="J60" s="2"/>
      <c r="K60" s="2"/>
      <c r="L60" s="2"/>
    </row>
    <row r="61" spans="1:12" x14ac:dyDescent="0.2">
      <c r="A61" s="2"/>
      <c r="B61" s="2"/>
      <c r="C61" s="2"/>
      <c r="D61" s="2"/>
      <c r="E61" s="2"/>
      <c r="F61" s="2"/>
      <c r="G61" s="2"/>
      <c r="H61" s="2"/>
      <c r="I61" s="2"/>
      <c r="J61" s="2"/>
      <c r="K61" s="2"/>
      <c r="L61" s="2"/>
    </row>
    <row r="62" spans="1:12" x14ac:dyDescent="0.2">
      <c r="A62" s="2"/>
      <c r="B62" s="2"/>
      <c r="C62" s="2"/>
      <c r="D62" s="2"/>
      <c r="E62" s="2"/>
      <c r="F62" s="2"/>
      <c r="G62" s="2"/>
      <c r="H62" s="2"/>
      <c r="I62" s="2"/>
      <c r="J62" s="2"/>
      <c r="K62" s="2"/>
      <c r="L62" s="2"/>
    </row>
    <row r="63" spans="1:12" x14ac:dyDescent="0.2">
      <c r="A63" s="2"/>
      <c r="B63" s="2"/>
      <c r="C63" s="2"/>
      <c r="D63" s="2"/>
      <c r="E63" s="2"/>
      <c r="F63" s="2"/>
      <c r="G63" s="2"/>
      <c r="H63" s="2"/>
      <c r="I63" s="2"/>
      <c r="J63" s="2"/>
      <c r="K63" s="2"/>
      <c r="L63" s="2"/>
    </row>
    <row r="64" spans="1:12" x14ac:dyDescent="0.2">
      <c r="A64" s="2"/>
      <c r="B64" s="2"/>
      <c r="C64" s="2"/>
      <c r="D64" s="2"/>
      <c r="E64" s="2"/>
      <c r="F64" s="2"/>
      <c r="G64" s="2"/>
      <c r="H64" s="2"/>
      <c r="I64" s="2"/>
      <c r="J64" s="2"/>
      <c r="K64" s="2"/>
      <c r="L64" s="2"/>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c r="G67" s="2"/>
      <c r="H67" s="2"/>
      <c r="I67" s="2"/>
      <c r="J67" s="2"/>
      <c r="K67" s="2"/>
      <c r="L67" s="2"/>
    </row>
    <row r="68" spans="1:12" x14ac:dyDescent="0.2">
      <c r="A68" s="2"/>
      <c r="B68" s="2"/>
      <c r="C68" s="2"/>
      <c r="D68" s="2"/>
      <c r="E68" s="2"/>
      <c r="F68" s="2"/>
      <c r="G68" s="2"/>
      <c r="H68" s="2"/>
      <c r="I68" s="2"/>
      <c r="J68" s="2"/>
      <c r="K68" s="2"/>
      <c r="L68" s="2"/>
    </row>
    <row r="69" spans="1:12" x14ac:dyDescent="0.2">
      <c r="A69" s="2"/>
      <c r="B69" s="2"/>
      <c r="C69" s="2"/>
      <c r="D69" s="2"/>
      <c r="E69" s="2"/>
      <c r="F69" s="2"/>
      <c r="G69" s="2"/>
      <c r="H69" s="2"/>
      <c r="I69" s="2"/>
      <c r="J69" s="2"/>
      <c r="K69" s="2"/>
      <c r="L69" s="2"/>
    </row>
    <row r="70" spans="1:12" x14ac:dyDescent="0.2">
      <c r="A70" s="2"/>
      <c r="B70" s="2"/>
      <c r="C70" s="2"/>
      <c r="D70" s="2"/>
      <c r="E70" s="2"/>
      <c r="F70" s="2"/>
      <c r="G70" s="2"/>
      <c r="H70" s="2"/>
      <c r="I70" s="2"/>
      <c r="J70" s="2"/>
      <c r="K70" s="2"/>
      <c r="L70" s="2"/>
    </row>
    <row r="71" spans="1:12" x14ac:dyDescent="0.2">
      <c r="A71" s="2"/>
      <c r="B71" s="2"/>
      <c r="C71" s="2"/>
      <c r="D71" s="2"/>
      <c r="E71" s="2"/>
      <c r="F71" s="2"/>
      <c r="G71" s="2"/>
      <c r="H71" s="2"/>
      <c r="I71" s="2"/>
      <c r="J71" s="2"/>
      <c r="K71" s="2"/>
      <c r="L71" s="2"/>
    </row>
    <row r="72" spans="1:12" x14ac:dyDescent="0.2">
      <c r="A72" s="2"/>
      <c r="B72" s="2"/>
      <c r="C72" s="2"/>
      <c r="D72" s="2"/>
      <c r="E72" s="2"/>
      <c r="F72" s="2"/>
      <c r="G72" s="2"/>
      <c r="H72" s="2"/>
      <c r="I72" s="2"/>
      <c r="J72" s="2"/>
      <c r="K72" s="2"/>
      <c r="L72" s="2"/>
    </row>
    <row r="73" spans="1:12" x14ac:dyDescent="0.2">
      <c r="A73" s="2"/>
      <c r="B73" s="2"/>
      <c r="C73" s="2"/>
      <c r="D73" s="2"/>
      <c r="E73" s="2"/>
      <c r="F73" s="2"/>
      <c r="G73" s="2"/>
      <c r="H73" s="2"/>
      <c r="I73" s="2"/>
      <c r="J73" s="2"/>
      <c r="K73" s="2"/>
      <c r="L73" s="2"/>
    </row>
    <row r="74" spans="1:12" x14ac:dyDescent="0.2">
      <c r="A74" s="2"/>
      <c r="B74" s="2"/>
      <c r="C74" s="2"/>
      <c r="D74" s="2"/>
      <c r="E74" s="2"/>
      <c r="F74" s="2"/>
      <c r="G74" s="2"/>
      <c r="H74" s="2"/>
      <c r="I74" s="2"/>
      <c r="J74" s="2"/>
      <c r="K74" s="2"/>
      <c r="L74" s="2"/>
    </row>
    <row r="75" spans="1:12" x14ac:dyDescent="0.2">
      <c r="A75" s="2"/>
      <c r="B75" s="2"/>
      <c r="C75" s="2"/>
      <c r="D75" s="2"/>
      <c r="E75" s="2"/>
      <c r="F75" s="2"/>
      <c r="G75" s="2"/>
      <c r="H75" s="2"/>
      <c r="I75" s="2"/>
      <c r="J75" s="2"/>
      <c r="K75" s="2"/>
      <c r="L75" s="2"/>
    </row>
    <row r="76" spans="1:12" x14ac:dyDescent="0.2">
      <c r="A76" s="2"/>
      <c r="B76" s="2"/>
      <c r="C76" s="2"/>
      <c r="D76" s="2"/>
      <c r="E76" s="2"/>
      <c r="F76" s="2"/>
      <c r="G76" s="2"/>
      <c r="H76" s="2"/>
      <c r="I76" s="2"/>
      <c r="J76" s="2"/>
      <c r="K76" s="2"/>
      <c r="L76" s="2"/>
    </row>
    <row r="77" spans="1:12" x14ac:dyDescent="0.2">
      <c r="A77" s="2"/>
      <c r="B77" s="2"/>
      <c r="C77" s="2"/>
      <c r="D77" s="2"/>
      <c r="E77" s="2"/>
      <c r="F77" s="2"/>
      <c r="G77" s="2"/>
      <c r="H77" s="2"/>
      <c r="I77" s="2"/>
      <c r="J77" s="2"/>
      <c r="K77" s="2"/>
      <c r="L77" s="2"/>
    </row>
    <row r="78" spans="1:12" x14ac:dyDescent="0.2">
      <c r="A78" s="2"/>
      <c r="B78" s="2"/>
      <c r="C78" s="2"/>
      <c r="D78" s="2"/>
      <c r="E78" s="2"/>
      <c r="F78" s="2"/>
      <c r="G78" s="2"/>
      <c r="H78" s="2"/>
      <c r="I78" s="2"/>
      <c r="J78" s="2"/>
      <c r="K78" s="2"/>
      <c r="L78" s="2"/>
    </row>
    <row r="79" spans="1:12" x14ac:dyDescent="0.2">
      <c r="A79" s="2"/>
      <c r="B79" s="2"/>
      <c r="C79" s="2"/>
      <c r="D79" s="2"/>
      <c r="E79" s="2"/>
      <c r="F79" s="2"/>
      <c r="G79" s="2"/>
      <c r="H79" s="2"/>
      <c r="I79" s="2"/>
      <c r="J79" s="2"/>
      <c r="K79" s="2"/>
      <c r="L79" s="2"/>
    </row>
    <row r="80" spans="1:12" x14ac:dyDescent="0.2">
      <c r="A80" s="2"/>
      <c r="B80" s="2"/>
      <c r="C80" s="2"/>
      <c r="D80" s="2"/>
      <c r="E80" s="2"/>
      <c r="F80" s="2"/>
      <c r="G80" s="2"/>
      <c r="H80" s="2"/>
      <c r="I80" s="2"/>
      <c r="J80" s="2"/>
      <c r="K80" s="2"/>
      <c r="L80" s="2"/>
    </row>
    <row r="81" spans="1:12" x14ac:dyDescent="0.2">
      <c r="A81" s="2"/>
      <c r="B81" s="2"/>
      <c r="C81" s="2"/>
      <c r="D81" s="2"/>
      <c r="E81" s="2"/>
      <c r="F81" s="2"/>
      <c r="G81" s="2"/>
      <c r="H81" s="2"/>
      <c r="I81" s="2"/>
      <c r="J81" s="2"/>
      <c r="K81" s="2"/>
      <c r="L81" s="2"/>
    </row>
    <row r="82" spans="1:12" x14ac:dyDescent="0.2">
      <c r="A82" s="2"/>
      <c r="B82" s="2"/>
      <c r="C82" s="2"/>
      <c r="D82" s="2"/>
      <c r="E82" s="2"/>
      <c r="F82" s="2"/>
      <c r="G82" s="2"/>
      <c r="H82" s="2"/>
      <c r="I82" s="2"/>
      <c r="J82" s="2"/>
      <c r="K82" s="2"/>
      <c r="L82" s="2"/>
    </row>
    <row r="83" spans="1:12" x14ac:dyDescent="0.2">
      <c r="A83" s="2"/>
      <c r="B83" s="2"/>
      <c r="C83" s="2"/>
      <c r="D83" s="2"/>
      <c r="E83" s="2"/>
      <c r="F83" s="2"/>
      <c r="G83" s="2"/>
      <c r="H83" s="2"/>
      <c r="I83" s="2"/>
      <c r="J83" s="2"/>
      <c r="K83" s="2"/>
      <c r="L83" s="2"/>
    </row>
    <row r="84" spans="1:12" x14ac:dyDescent="0.2">
      <c r="A84" s="2"/>
      <c r="B84" s="2"/>
      <c r="C84" s="2"/>
      <c r="D84" s="2"/>
      <c r="E84" s="2"/>
      <c r="F84" s="2"/>
      <c r="G84" s="2"/>
      <c r="H84" s="2"/>
      <c r="I84" s="2"/>
      <c r="J84" s="2"/>
      <c r="K84" s="2"/>
      <c r="L84" s="2"/>
    </row>
    <row r="85" spans="1:12" x14ac:dyDescent="0.2">
      <c r="A85" s="2"/>
      <c r="B85" s="2"/>
      <c r="C85" s="2"/>
      <c r="D85" s="2"/>
      <c r="E85" s="2"/>
      <c r="F85" s="2"/>
      <c r="G85" s="2"/>
      <c r="H85" s="2"/>
      <c r="I85" s="2"/>
      <c r="J85" s="2"/>
      <c r="K85" s="2"/>
      <c r="L85" s="2"/>
    </row>
    <row r="86" spans="1:12" x14ac:dyDescent="0.2">
      <c r="A86" s="2"/>
      <c r="B86" s="2"/>
      <c r="C86" s="2"/>
      <c r="D86" s="2"/>
      <c r="E86" s="2"/>
      <c r="F86" s="2"/>
      <c r="G86" s="2"/>
      <c r="H86" s="2"/>
      <c r="I86" s="2"/>
      <c r="J86" s="2"/>
      <c r="K86" s="2"/>
      <c r="L86" s="2"/>
    </row>
    <row r="87" spans="1:12" x14ac:dyDescent="0.2">
      <c r="A87" s="2"/>
      <c r="B87" s="2"/>
      <c r="C87" s="2"/>
      <c r="D87" s="2"/>
      <c r="E87" s="2"/>
      <c r="F87" s="2"/>
      <c r="G87" s="2"/>
      <c r="H87" s="2"/>
      <c r="I87" s="2"/>
      <c r="J87" s="2"/>
      <c r="K87" s="2"/>
      <c r="L87" s="2"/>
    </row>
    <row r="88" spans="1:12" x14ac:dyDescent="0.2">
      <c r="A88" s="2"/>
      <c r="B88" s="2"/>
      <c r="C88" s="2"/>
      <c r="D88" s="2"/>
      <c r="E88" s="2"/>
      <c r="F88" s="2"/>
      <c r="G88" s="2"/>
      <c r="H88" s="2"/>
      <c r="I88" s="2"/>
      <c r="J88" s="2"/>
      <c r="K88" s="2"/>
      <c r="L88" s="2"/>
    </row>
    <row r="89" spans="1:12" x14ac:dyDescent="0.2">
      <c r="A89" s="2"/>
      <c r="B89" s="2"/>
      <c r="C89" s="2"/>
      <c r="D89" s="2"/>
      <c r="E89" s="2"/>
      <c r="F89" s="2"/>
      <c r="G89" s="2"/>
      <c r="H89" s="2"/>
      <c r="I89" s="2"/>
      <c r="J89" s="2"/>
      <c r="K89" s="2"/>
      <c r="L89" s="2"/>
    </row>
    <row r="90" spans="1:12" x14ac:dyDescent="0.2">
      <c r="A90" s="2"/>
      <c r="B90" s="2"/>
      <c r="C90" s="2"/>
      <c r="D90" s="2"/>
      <c r="E90" s="2"/>
      <c r="F90" s="2"/>
      <c r="G90" s="2"/>
      <c r="H90" s="2"/>
      <c r="I90" s="2"/>
      <c r="J90" s="2"/>
      <c r="K90" s="2"/>
      <c r="L90" s="2"/>
    </row>
    <row r="91" spans="1:12" x14ac:dyDescent="0.2">
      <c r="A91" s="2"/>
      <c r="B91" s="2"/>
      <c r="C91" s="2"/>
      <c r="D91" s="2"/>
      <c r="E91" s="2"/>
      <c r="F91" s="2"/>
      <c r="G91" s="2"/>
      <c r="H91" s="2"/>
      <c r="I91" s="2"/>
      <c r="J91" s="2"/>
      <c r="K91" s="2"/>
      <c r="L91" s="2"/>
    </row>
    <row r="92" spans="1:12" x14ac:dyDescent="0.2">
      <c r="A92" s="2"/>
      <c r="B92" s="2"/>
      <c r="C92" s="2"/>
      <c r="D92" s="2"/>
      <c r="E92" s="2"/>
      <c r="F92" s="2"/>
      <c r="G92" s="2"/>
      <c r="H92" s="2"/>
      <c r="I92" s="2"/>
      <c r="J92" s="2"/>
      <c r="K92" s="2"/>
      <c r="L92" s="2"/>
    </row>
    <row r="93" spans="1:12" x14ac:dyDescent="0.2">
      <c r="A93" s="2"/>
      <c r="B93" s="2"/>
      <c r="C93" s="2"/>
      <c r="D93" s="2"/>
      <c r="E93" s="2"/>
      <c r="F93" s="2"/>
      <c r="G93" s="2"/>
      <c r="H93" s="2"/>
      <c r="I93" s="2"/>
      <c r="J93" s="2"/>
      <c r="K93" s="2"/>
      <c r="L93" s="2"/>
    </row>
    <row r="94" spans="1:12" x14ac:dyDescent="0.2">
      <c r="A94" s="2"/>
      <c r="B94" s="2"/>
      <c r="C94" s="2"/>
      <c r="D94" s="2"/>
      <c r="E94" s="2"/>
      <c r="F94" s="2"/>
      <c r="G94" s="2"/>
      <c r="H94" s="2"/>
      <c r="I94" s="2"/>
      <c r="J94" s="2"/>
      <c r="K94" s="2"/>
      <c r="L94" s="2"/>
    </row>
    <row r="95" spans="1:12" x14ac:dyDescent="0.2">
      <c r="A95" s="2"/>
      <c r="B95" s="2"/>
      <c r="C95" s="2"/>
      <c r="D95" s="2"/>
      <c r="E95" s="2"/>
      <c r="F95" s="2"/>
      <c r="G95" s="2"/>
      <c r="H95" s="2"/>
      <c r="I95" s="2"/>
      <c r="J95" s="2"/>
      <c r="K95" s="2"/>
      <c r="L95" s="2"/>
    </row>
    <row r="96" spans="1:12" x14ac:dyDescent="0.2">
      <c r="A96" s="2"/>
      <c r="B96" s="2"/>
      <c r="C96" s="2"/>
      <c r="D96" s="2"/>
      <c r="E96" s="2"/>
      <c r="F96" s="2"/>
      <c r="G96" s="2"/>
      <c r="H96" s="2"/>
      <c r="I96" s="2"/>
      <c r="J96" s="2"/>
      <c r="K96" s="2"/>
      <c r="L96" s="2"/>
    </row>
    <row r="97" spans="1:12" x14ac:dyDescent="0.2">
      <c r="A97" s="2"/>
      <c r="B97" s="2"/>
      <c r="C97" s="2"/>
      <c r="D97" s="2"/>
      <c r="E97" s="2"/>
      <c r="F97" s="2"/>
      <c r="G97" s="2"/>
      <c r="H97" s="2"/>
      <c r="I97" s="2"/>
      <c r="J97" s="2"/>
      <c r="K97" s="2"/>
      <c r="L97" s="2"/>
    </row>
    <row r="98" spans="1:12" x14ac:dyDescent="0.2">
      <c r="A98" s="2"/>
      <c r="B98" s="2"/>
      <c r="C98" s="2"/>
      <c r="D98" s="2"/>
      <c r="E98" s="2"/>
      <c r="F98" s="2"/>
      <c r="G98" s="2"/>
      <c r="H98" s="2"/>
      <c r="I98" s="2"/>
      <c r="J98" s="2"/>
      <c r="K98" s="2"/>
      <c r="L98" s="2"/>
    </row>
    <row r="99" spans="1:12" x14ac:dyDescent="0.2">
      <c r="A99" s="2"/>
      <c r="B99" s="2"/>
      <c r="C99" s="2"/>
      <c r="D99" s="2"/>
      <c r="E99" s="2"/>
      <c r="F99" s="2"/>
      <c r="G99" s="2"/>
      <c r="H99" s="2"/>
      <c r="I99" s="2"/>
      <c r="J99" s="2"/>
      <c r="K99" s="2"/>
      <c r="L99" s="2"/>
    </row>
    <row r="100" spans="1:12" x14ac:dyDescent="0.2">
      <c r="A100" s="2"/>
      <c r="B100" s="2"/>
      <c r="C100" s="2"/>
      <c r="D100" s="2"/>
      <c r="E100" s="2"/>
      <c r="F100" s="2"/>
      <c r="G100" s="2"/>
      <c r="H100" s="2"/>
      <c r="I100" s="2"/>
      <c r="J100" s="2"/>
      <c r="K100" s="2"/>
      <c r="L100" s="2"/>
    </row>
    <row r="101" spans="1:12" x14ac:dyDescent="0.2">
      <c r="A101" s="2"/>
      <c r="B101" s="2"/>
      <c r="C101" s="2"/>
      <c r="D101" s="2"/>
      <c r="E101" s="2"/>
      <c r="F101" s="2"/>
      <c r="G101" s="2"/>
      <c r="H101" s="2"/>
      <c r="I101" s="2"/>
      <c r="J101" s="2"/>
      <c r="K101" s="2"/>
      <c r="L101" s="2"/>
    </row>
    <row r="102" spans="1:12" x14ac:dyDescent="0.2">
      <c r="A102" s="2"/>
      <c r="B102" s="2"/>
      <c r="C102" s="2"/>
      <c r="D102" s="2"/>
      <c r="E102" s="2"/>
      <c r="F102" s="2"/>
      <c r="G102" s="2"/>
      <c r="H102" s="2"/>
      <c r="I102" s="2"/>
      <c r="J102" s="2"/>
      <c r="K102" s="2"/>
      <c r="L102" s="2"/>
    </row>
    <row r="103" spans="1:12" x14ac:dyDescent="0.2">
      <c r="A103" s="2"/>
      <c r="B103" s="2"/>
      <c r="C103" s="2"/>
      <c r="D103" s="2"/>
      <c r="E103" s="2"/>
      <c r="F103" s="2"/>
      <c r="G103" s="2"/>
      <c r="H103" s="2"/>
      <c r="I103" s="2"/>
      <c r="J103" s="2"/>
      <c r="K103" s="2"/>
      <c r="L103" s="2"/>
    </row>
    <row r="104" spans="1:12" x14ac:dyDescent="0.2">
      <c r="A104" s="2"/>
      <c r="B104" s="2"/>
      <c r="C104" s="2"/>
      <c r="D104" s="2"/>
      <c r="E104" s="2"/>
      <c r="F104" s="2"/>
      <c r="G104" s="2"/>
      <c r="H104" s="2"/>
      <c r="I104" s="2"/>
      <c r="J104" s="2"/>
      <c r="K104" s="2"/>
      <c r="L104" s="2"/>
    </row>
    <row r="105" spans="1:12" x14ac:dyDescent="0.2">
      <c r="A105" s="2"/>
      <c r="B105" s="2"/>
      <c r="C105" s="2"/>
      <c r="D105" s="2"/>
      <c r="E105" s="2"/>
      <c r="F105" s="2"/>
      <c r="G105" s="2"/>
      <c r="H105" s="2"/>
      <c r="I105" s="2"/>
      <c r="J105" s="2"/>
      <c r="K105" s="2"/>
      <c r="L105" s="2"/>
    </row>
    <row r="106" spans="1:12" x14ac:dyDescent="0.2">
      <c r="A106" s="2"/>
      <c r="B106" s="2"/>
      <c r="C106" s="2"/>
      <c r="D106" s="2"/>
      <c r="E106" s="2"/>
      <c r="F106" s="2"/>
      <c r="G106" s="2"/>
      <c r="H106" s="2"/>
      <c r="I106" s="2"/>
      <c r="J106" s="2"/>
      <c r="K106" s="2"/>
      <c r="L106" s="2"/>
    </row>
    <row r="107" spans="1:12" x14ac:dyDescent="0.2">
      <c r="A107" s="2"/>
      <c r="B107" s="2"/>
      <c r="C107" s="2"/>
      <c r="D107" s="2"/>
      <c r="E107" s="2"/>
      <c r="F107" s="2"/>
      <c r="G107" s="2"/>
      <c r="H107" s="2"/>
      <c r="I107" s="2"/>
      <c r="J107" s="2"/>
      <c r="K107" s="2"/>
      <c r="L107" s="2"/>
    </row>
    <row r="108" spans="1:12" x14ac:dyDescent="0.2">
      <c r="A108" s="2"/>
      <c r="B108" s="2"/>
      <c r="C108" s="2"/>
      <c r="D108" s="2"/>
      <c r="E108" s="2"/>
      <c r="F108" s="2"/>
      <c r="G108" s="2"/>
      <c r="H108" s="2"/>
      <c r="I108" s="2"/>
      <c r="J108" s="2"/>
      <c r="K108" s="2"/>
      <c r="L108" s="2"/>
    </row>
    <row r="109" spans="1:12" x14ac:dyDescent="0.2">
      <c r="A109" s="2"/>
      <c r="B109" s="2"/>
      <c r="C109" s="2"/>
      <c r="D109" s="2"/>
      <c r="E109" s="2"/>
      <c r="F109" s="2"/>
      <c r="G109" s="2"/>
      <c r="H109" s="2"/>
      <c r="I109" s="2"/>
      <c r="J109" s="2"/>
      <c r="K109" s="2"/>
      <c r="L109" s="2"/>
    </row>
    <row r="110" spans="1:12" x14ac:dyDescent="0.2">
      <c r="A110" s="2"/>
      <c r="B110" s="2"/>
      <c r="C110" s="2"/>
      <c r="D110" s="2"/>
      <c r="E110" s="2"/>
      <c r="F110" s="2"/>
      <c r="G110" s="2"/>
      <c r="H110" s="2"/>
      <c r="I110" s="2"/>
      <c r="J110" s="2"/>
      <c r="K110" s="2"/>
      <c r="L110" s="2"/>
    </row>
    <row r="111" spans="1:12" x14ac:dyDescent="0.2">
      <c r="A111" s="2"/>
      <c r="B111" s="2"/>
      <c r="C111" s="2"/>
      <c r="D111" s="2"/>
      <c r="E111" s="2"/>
      <c r="F111" s="2"/>
      <c r="G111" s="2"/>
      <c r="H111" s="2"/>
      <c r="I111" s="2"/>
      <c r="J111" s="2"/>
      <c r="K111" s="2"/>
      <c r="L111" s="2"/>
    </row>
    <row r="112" spans="1:12" x14ac:dyDescent="0.2">
      <c r="A112" s="2"/>
      <c r="B112" s="2"/>
      <c r="C112" s="2"/>
      <c r="D112" s="2"/>
      <c r="E112" s="2"/>
      <c r="F112" s="2"/>
      <c r="G112" s="2"/>
      <c r="H112" s="2"/>
      <c r="I112" s="2"/>
      <c r="J112" s="2"/>
      <c r="K112" s="2"/>
      <c r="L112" s="2"/>
    </row>
    <row r="113" spans="1:12" x14ac:dyDescent="0.2">
      <c r="A113" s="2"/>
      <c r="B113" s="2"/>
      <c r="C113" s="2"/>
      <c r="D113" s="2"/>
      <c r="E113" s="2"/>
      <c r="F113" s="2"/>
      <c r="G113" s="2"/>
      <c r="H113" s="2"/>
      <c r="I113" s="2"/>
      <c r="J113" s="2"/>
      <c r="K113" s="2"/>
      <c r="L113" s="2"/>
    </row>
    <row r="114" spans="1:12" x14ac:dyDescent="0.2">
      <c r="A114" s="2"/>
      <c r="B114" s="2"/>
      <c r="C114" s="2"/>
      <c r="D114" s="2"/>
      <c r="E114" s="2"/>
      <c r="F114" s="2"/>
      <c r="G114" s="2"/>
      <c r="H114" s="2"/>
      <c r="I114" s="2"/>
      <c r="J114" s="2"/>
      <c r="K114" s="2"/>
      <c r="L114" s="2"/>
    </row>
    <row r="115" spans="1:12" x14ac:dyDescent="0.2">
      <c r="A115" s="2"/>
      <c r="B115" s="2"/>
      <c r="C115" s="2"/>
      <c r="D115" s="2"/>
      <c r="E115" s="2"/>
      <c r="F115" s="2"/>
      <c r="G115" s="2"/>
      <c r="H115" s="2"/>
      <c r="I115" s="2"/>
      <c r="J115" s="2"/>
      <c r="K115" s="2"/>
      <c r="L115" s="2"/>
    </row>
    <row r="116" spans="1:12" x14ac:dyDescent="0.2">
      <c r="A116" s="2"/>
      <c r="B116" s="2"/>
      <c r="C116" s="2"/>
      <c r="D116" s="2"/>
      <c r="E116" s="2"/>
      <c r="F116" s="2"/>
      <c r="G116" s="2"/>
      <c r="H116" s="2"/>
      <c r="I116" s="2"/>
      <c r="J116" s="2"/>
      <c r="K116" s="2"/>
      <c r="L116" s="2"/>
    </row>
    <row r="117" spans="1:12" x14ac:dyDescent="0.2">
      <c r="A117" s="2"/>
      <c r="B117" s="2"/>
      <c r="C117" s="2"/>
      <c r="D117" s="2"/>
      <c r="E117" s="2"/>
      <c r="F117" s="2"/>
      <c r="G117" s="2"/>
      <c r="H117" s="2"/>
      <c r="I117" s="2"/>
      <c r="J117" s="2"/>
      <c r="K117" s="2"/>
      <c r="L117" s="2"/>
    </row>
    <row r="118" spans="1:12" x14ac:dyDescent="0.2">
      <c r="A118" s="2"/>
      <c r="B118" s="2"/>
      <c r="C118" s="2"/>
      <c r="D118" s="2"/>
      <c r="E118" s="2"/>
      <c r="F118" s="2"/>
      <c r="G118" s="2"/>
      <c r="H118" s="2"/>
      <c r="I118" s="2"/>
      <c r="J118" s="2"/>
      <c r="K118" s="2"/>
      <c r="L118" s="2"/>
    </row>
    <row r="119" spans="1:12" x14ac:dyDescent="0.2">
      <c r="A119" s="2"/>
      <c r="B119" s="2"/>
      <c r="C119" s="2"/>
      <c r="D119" s="2"/>
      <c r="E119" s="2"/>
      <c r="F119" s="2"/>
      <c r="G119" s="2"/>
      <c r="H119" s="2"/>
      <c r="I119" s="2"/>
      <c r="J119" s="2"/>
      <c r="K119" s="2"/>
      <c r="L119" s="2"/>
    </row>
    <row r="120" spans="1:12" x14ac:dyDescent="0.2">
      <c r="A120" s="2"/>
      <c r="B120" s="2"/>
      <c r="C120" s="2"/>
      <c r="D120" s="2"/>
      <c r="E120" s="2"/>
      <c r="F120" s="2"/>
      <c r="G120" s="2"/>
      <c r="H120" s="2"/>
      <c r="I120" s="2"/>
      <c r="J120" s="2"/>
      <c r="K120" s="2"/>
      <c r="L120" s="2"/>
    </row>
    <row r="121" spans="1:12" x14ac:dyDescent="0.2">
      <c r="A121" s="2"/>
      <c r="B121" s="2"/>
      <c r="C121" s="2"/>
      <c r="D121" s="2"/>
      <c r="E121" s="2"/>
      <c r="F121" s="2"/>
      <c r="G121" s="2"/>
      <c r="H121" s="2"/>
      <c r="I121" s="2"/>
      <c r="J121" s="2"/>
      <c r="K121" s="2"/>
      <c r="L121" s="2"/>
    </row>
    <row r="122" spans="1:12" x14ac:dyDescent="0.2">
      <c r="A122" s="2"/>
      <c r="B122" s="2"/>
      <c r="C122" s="2"/>
      <c r="D122" s="2"/>
      <c r="E122" s="2"/>
      <c r="F122" s="2"/>
      <c r="G122" s="2"/>
      <c r="H122" s="2"/>
      <c r="I122" s="2"/>
      <c r="J122" s="2"/>
      <c r="K122" s="2"/>
      <c r="L122" s="2"/>
    </row>
    <row r="123" spans="1:12" x14ac:dyDescent="0.2">
      <c r="A123" s="2"/>
      <c r="B123" s="2"/>
      <c r="C123" s="2"/>
      <c r="D123" s="2"/>
      <c r="E123" s="2"/>
      <c r="F123" s="2"/>
      <c r="G123" s="2"/>
      <c r="H123" s="2"/>
      <c r="I123" s="2"/>
      <c r="J123" s="2"/>
      <c r="K123" s="2"/>
      <c r="L123" s="2"/>
    </row>
    <row r="124" spans="1:12" x14ac:dyDescent="0.2">
      <c r="A124" s="2"/>
      <c r="B124" s="2"/>
      <c r="C124" s="2"/>
      <c r="D124" s="2"/>
      <c r="E124" s="2"/>
      <c r="F124" s="2"/>
      <c r="G124" s="2"/>
      <c r="H124" s="2"/>
      <c r="I124" s="2"/>
      <c r="J124" s="2"/>
      <c r="K124" s="2"/>
      <c r="L124" s="2"/>
    </row>
    <row r="125" spans="1:12" x14ac:dyDescent="0.2">
      <c r="A125" s="2"/>
      <c r="B125" s="2"/>
      <c r="C125" s="2"/>
      <c r="D125" s="2"/>
      <c r="E125" s="2"/>
      <c r="F125" s="2"/>
      <c r="G125" s="2"/>
      <c r="H125" s="2"/>
      <c r="I125" s="2"/>
      <c r="J125" s="2"/>
      <c r="K125" s="2"/>
      <c r="L125" s="2"/>
    </row>
    <row r="126" spans="1:12" x14ac:dyDescent="0.2">
      <c r="A126" s="2"/>
      <c r="B126" s="2"/>
      <c r="C126" s="2"/>
      <c r="D126" s="2"/>
      <c r="E126" s="2"/>
      <c r="F126" s="2"/>
      <c r="G126" s="2"/>
      <c r="H126" s="2"/>
      <c r="I126" s="2"/>
      <c r="J126" s="2"/>
      <c r="K126" s="2"/>
      <c r="L126" s="2"/>
    </row>
    <row r="127" spans="1:12" x14ac:dyDescent="0.2">
      <c r="A127" s="2"/>
      <c r="B127" s="2"/>
      <c r="C127" s="2"/>
      <c r="D127" s="2"/>
      <c r="E127" s="2"/>
      <c r="F127" s="2"/>
      <c r="G127" s="2"/>
      <c r="H127" s="2"/>
      <c r="I127" s="2"/>
      <c r="J127" s="2"/>
      <c r="K127" s="2"/>
      <c r="L127" s="2"/>
    </row>
    <row r="128" spans="1:12" x14ac:dyDescent="0.2">
      <c r="A128" s="2"/>
      <c r="B128" s="2"/>
      <c r="C128" s="2"/>
      <c r="D128" s="2"/>
      <c r="E128" s="2"/>
      <c r="F128" s="2"/>
      <c r="G128" s="2"/>
      <c r="H128" s="2"/>
      <c r="I128" s="2"/>
      <c r="J128" s="2"/>
      <c r="K128" s="2"/>
      <c r="L128" s="2"/>
    </row>
    <row r="129" spans="1:12" x14ac:dyDescent="0.2">
      <c r="A129" s="2"/>
      <c r="B129" s="2"/>
      <c r="C129" s="2"/>
      <c r="D129" s="2"/>
      <c r="E129" s="2"/>
      <c r="F129" s="2"/>
      <c r="G129" s="2"/>
      <c r="H129" s="2"/>
      <c r="I129" s="2"/>
      <c r="J129" s="2"/>
      <c r="K129" s="2"/>
      <c r="L129" s="2"/>
    </row>
    <row r="130" spans="1:12" x14ac:dyDescent="0.2">
      <c r="A130" s="2"/>
      <c r="B130" s="2"/>
      <c r="C130" s="2"/>
      <c r="D130" s="2"/>
      <c r="E130" s="2"/>
      <c r="F130" s="2"/>
      <c r="G130" s="2"/>
      <c r="H130" s="2"/>
      <c r="I130" s="2"/>
      <c r="J130" s="2"/>
      <c r="K130" s="2"/>
      <c r="L130" s="2"/>
    </row>
    <row r="131" spans="1:12" x14ac:dyDescent="0.2">
      <c r="A131" s="2"/>
      <c r="B131" s="2"/>
      <c r="C131" s="2"/>
      <c r="D131" s="2"/>
      <c r="E131" s="2"/>
      <c r="F131" s="2"/>
      <c r="G131" s="2"/>
      <c r="H131" s="2"/>
      <c r="I131" s="2"/>
      <c r="J131" s="2"/>
      <c r="K131" s="2"/>
      <c r="L131" s="2"/>
    </row>
    <row r="132" spans="1:12" x14ac:dyDescent="0.2">
      <c r="A132" s="2"/>
      <c r="B132" s="2"/>
      <c r="C132" s="2"/>
      <c r="D132" s="2"/>
      <c r="E132" s="2"/>
      <c r="F132" s="2"/>
      <c r="G132" s="2"/>
      <c r="H132" s="2"/>
      <c r="I132" s="2"/>
      <c r="J132" s="2"/>
      <c r="K132" s="2"/>
      <c r="L132" s="2"/>
    </row>
    <row r="133" spans="1:12" x14ac:dyDescent="0.2">
      <c r="A133" s="2"/>
      <c r="B133" s="2"/>
      <c r="C133" s="2"/>
      <c r="D133" s="2"/>
      <c r="E133" s="2"/>
      <c r="F133" s="2"/>
      <c r="G133" s="2"/>
      <c r="H133" s="2"/>
      <c r="I133" s="2"/>
      <c r="J133" s="2"/>
      <c r="K133" s="2"/>
      <c r="L133" s="2"/>
    </row>
    <row r="134" spans="1:12" x14ac:dyDescent="0.2">
      <c r="A134" s="2"/>
      <c r="B134" s="2"/>
      <c r="C134" s="2"/>
      <c r="D134" s="2"/>
      <c r="E134" s="2"/>
      <c r="F134" s="2"/>
      <c r="G134" s="2"/>
      <c r="H134" s="2"/>
      <c r="I134" s="2"/>
      <c r="J134" s="2"/>
      <c r="K134" s="2"/>
      <c r="L134" s="2"/>
    </row>
    <row r="135" spans="1:12" x14ac:dyDescent="0.2">
      <c r="A135" s="2"/>
      <c r="B135" s="2"/>
      <c r="C135" s="2"/>
      <c r="D135" s="2"/>
      <c r="E135" s="2"/>
      <c r="F135" s="2"/>
      <c r="G135" s="2"/>
      <c r="H135" s="2"/>
      <c r="I135" s="2"/>
      <c r="J135" s="2"/>
      <c r="K135" s="2"/>
      <c r="L135" s="2"/>
    </row>
    <row r="136" spans="1:12" x14ac:dyDescent="0.2">
      <c r="A136" s="2"/>
      <c r="B136" s="2"/>
      <c r="C136" s="2"/>
      <c r="D136" s="2"/>
      <c r="E136" s="2"/>
      <c r="F136" s="2"/>
      <c r="G136" s="2"/>
      <c r="H136" s="2"/>
      <c r="I136" s="2"/>
      <c r="J136" s="2"/>
      <c r="K136" s="2"/>
      <c r="L136" s="2"/>
    </row>
    <row r="137" spans="1:12" x14ac:dyDescent="0.2">
      <c r="A137" s="2"/>
      <c r="B137" s="2"/>
      <c r="C137" s="2"/>
      <c r="D137" s="2"/>
      <c r="E137" s="2"/>
      <c r="F137" s="2"/>
      <c r="G137" s="2"/>
      <c r="H137" s="2"/>
      <c r="I137" s="2"/>
      <c r="J137" s="2"/>
      <c r="K137" s="2"/>
      <c r="L137" s="2"/>
    </row>
    <row r="138" spans="1:12" x14ac:dyDescent="0.2">
      <c r="A138" s="2"/>
      <c r="B138" s="2"/>
      <c r="C138" s="2"/>
      <c r="D138" s="2"/>
      <c r="E138" s="2"/>
      <c r="F138" s="2"/>
      <c r="G138" s="2"/>
      <c r="H138" s="2"/>
      <c r="I138" s="2"/>
      <c r="J138" s="2"/>
      <c r="K138" s="2"/>
      <c r="L138" s="2"/>
    </row>
    <row r="139" spans="1:12" x14ac:dyDescent="0.2">
      <c r="A139" s="2"/>
      <c r="B139" s="2"/>
      <c r="C139" s="2"/>
      <c r="D139" s="2"/>
      <c r="E139" s="2"/>
      <c r="F139" s="2"/>
      <c r="G139" s="2"/>
      <c r="H139" s="2"/>
      <c r="I139" s="2"/>
      <c r="J139" s="2"/>
      <c r="K139" s="2"/>
      <c r="L139" s="2"/>
    </row>
    <row r="140" spans="1:12" x14ac:dyDescent="0.2">
      <c r="A140" s="2"/>
      <c r="B140" s="2"/>
      <c r="C140" s="2"/>
      <c r="D140" s="2"/>
      <c r="E140" s="2"/>
      <c r="F140" s="2"/>
      <c r="G140" s="2"/>
      <c r="H140" s="2"/>
      <c r="I140" s="2"/>
      <c r="J140" s="2"/>
      <c r="K140" s="2"/>
      <c r="L140" s="2"/>
    </row>
    <row r="141" spans="1:12" x14ac:dyDescent="0.2">
      <c r="A141" s="2"/>
      <c r="B141" s="2"/>
      <c r="C141" s="2"/>
      <c r="D141" s="2"/>
      <c r="E141" s="2"/>
      <c r="F141" s="2"/>
      <c r="G141" s="2"/>
      <c r="H141" s="2"/>
      <c r="I141" s="2"/>
      <c r="J141" s="2"/>
      <c r="K141" s="2"/>
      <c r="L141" s="2"/>
    </row>
    <row r="142" spans="1:12" x14ac:dyDescent="0.2">
      <c r="A142" s="2"/>
      <c r="B142" s="2"/>
      <c r="C142" s="2"/>
      <c r="D142" s="2"/>
      <c r="E142" s="2"/>
      <c r="F142" s="2"/>
      <c r="G142" s="2"/>
      <c r="H142" s="2"/>
      <c r="I142" s="2"/>
      <c r="J142" s="2"/>
      <c r="K142" s="2"/>
      <c r="L142" s="2"/>
    </row>
    <row r="143" spans="1:12" x14ac:dyDescent="0.2">
      <c r="A143" s="2"/>
      <c r="B143" s="2"/>
      <c r="C143" s="2"/>
      <c r="D143" s="2"/>
      <c r="E143" s="2"/>
      <c r="F143" s="2"/>
      <c r="G143" s="2"/>
      <c r="H143" s="2"/>
      <c r="I143" s="2"/>
      <c r="J143" s="2"/>
      <c r="K143" s="2"/>
      <c r="L143" s="2"/>
    </row>
    <row r="144" spans="1:12" x14ac:dyDescent="0.2">
      <c r="A144" s="2"/>
      <c r="B144" s="2"/>
      <c r="C144" s="2"/>
      <c r="D144" s="2"/>
      <c r="E144" s="2"/>
      <c r="F144" s="2"/>
      <c r="G144" s="2"/>
      <c r="H144" s="2"/>
      <c r="I144" s="2"/>
      <c r="J144" s="2"/>
      <c r="K144" s="2"/>
      <c r="L144" s="2"/>
    </row>
    <row r="145" spans="1:12" x14ac:dyDescent="0.2">
      <c r="A145" s="2"/>
      <c r="B145" s="2"/>
      <c r="C145" s="2"/>
      <c r="D145" s="2"/>
      <c r="E145" s="2"/>
      <c r="F145" s="2"/>
      <c r="G145" s="2"/>
      <c r="H145" s="2"/>
      <c r="I145" s="2"/>
      <c r="J145" s="2"/>
      <c r="K145" s="2"/>
      <c r="L145" s="2"/>
    </row>
    <row r="146" spans="1:12" x14ac:dyDescent="0.2">
      <c r="A146" s="2"/>
      <c r="B146" s="2"/>
      <c r="C146" s="2"/>
      <c r="D146" s="2"/>
      <c r="E146" s="2"/>
      <c r="F146" s="2"/>
      <c r="G146" s="2"/>
      <c r="H146" s="2"/>
      <c r="I146" s="2"/>
      <c r="J146" s="2"/>
      <c r="K146" s="2"/>
      <c r="L146" s="2"/>
    </row>
    <row r="147" spans="1:12" x14ac:dyDescent="0.2">
      <c r="A147" s="2"/>
      <c r="B147" s="2"/>
      <c r="C147" s="2"/>
      <c r="D147" s="2"/>
      <c r="E147" s="2"/>
      <c r="F147" s="2"/>
      <c r="G147" s="2"/>
      <c r="H147" s="2"/>
      <c r="I147" s="2"/>
      <c r="J147" s="2"/>
      <c r="K147" s="2"/>
      <c r="L147" s="2"/>
    </row>
    <row r="148" spans="1:12" x14ac:dyDescent="0.2">
      <c r="A148" s="2"/>
      <c r="B148" s="2"/>
      <c r="C148" s="2"/>
      <c r="D148" s="2"/>
      <c r="E148" s="2"/>
      <c r="F148" s="2"/>
      <c r="G148" s="2"/>
      <c r="H148" s="2"/>
      <c r="I148" s="2"/>
      <c r="J148" s="2"/>
      <c r="K148" s="2"/>
      <c r="L148" s="2"/>
    </row>
    <row r="149" spans="1:12" x14ac:dyDescent="0.2">
      <c r="A149" s="2"/>
      <c r="B149" s="2"/>
      <c r="C149" s="2"/>
      <c r="D149" s="2"/>
      <c r="E149" s="2"/>
      <c r="F149" s="2"/>
      <c r="G149" s="2"/>
      <c r="H149" s="2"/>
      <c r="I149" s="2"/>
      <c r="J149" s="2"/>
      <c r="K149" s="2"/>
      <c r="L149" s="2"/>
    </row>
    <row r="150" spans="1:12" x14ac:dyDescent="0.2">
      <c r="A150" s="2"/>
      <c r="B150" s="2"/>
      <c r="C150" s="2"/>
      <c r="D150" s="2"/>
      <c r="E150" s="2"/>
      <c r="F150" s="2"/>
      <c r="G150" s="2"/>
      <c r="H150" s="2"/>
      <c r="I150" s="2"/>
      <c r="J150" s="2"/>
      <c r="K150" s="2"/>
      <c r="L150" s="2"/>
    </row>
    <row r="151" spans="1:12" x14ac:dyDescent="0.2">
      <c r="A151" s="2"/>
      <c r="B151" s="2"/>
      <c r="C151" s="2"/>
      <c r="D151" s="2"/>
      <c r="E151" s="2"/>
      <c r="F151" s="2"/>
      <c r="G151" s="2"/>
      <c r="H151" s="2"/>
      <c r="I151" s="2"/>
      <c r="J151" s="2"/>
      <c r="K151" s="2"/>
      <c r="L151" s="2"/>
    </row>
    <row r="152" spans="1:12" x14ac:dyDescent="0.2">
      <c r="A152" s="2"/>
      <c r="B152" s="2"/>
      <c r="C152" s="2"/>
      <c r="D152" s="2"/>
      <c r="E152" s="2"/>
      <c r="F152" s="2"/>
      <c r="G152" s="2"/>
      <c r="H152" s="2"/>
      <c r="I152" s="2"/>
      <c r="J152" s="2"/>
      <c r="K152" s="2"/>
      <c r="L152" s="2"/>
    </row>
    <row r="153" spans="1:12" x14ac:dyDescent="0.2">
      <c r="A153" s="2"/>
      <c r="B153" s="2"/>
      <c r="C153" s="2"/>
      <c r="D153" s="2"/>
      <c r="E153" s="2"/>
      <c r="F153" s="2"/>
      <c r="G153" s="2"/>
      <c r="H153" s="2"/>
      <c r="I153" s="2"/>
      <c r="J153" s="2"/>
      <c r="K153" s="2"/>
      <c r="L153" s="2"/>
    </row>
    <row r="154" spans="1:12" x14ac:dyDescent="0.2">
      <c r="A154" s="2"/>
      <c r="B154" s="2"/>
      <c r="C154" s="2"/>
      <c r="D154" s="2"/>
      <c r="E154" s="2"/>
      <c r="F154" s="2"/>
      <c r="G154" s="2"/>
      <c r="H154" s="2"/>
      <c r="I154" s="2"/>
      <c r="J154" s="2"/>
      <c r="K154" s="2"/>
      <c r="L154" s="2"/>
    </row>
    <row r="155" spans="1:12" x14ac:dyDescent="0.2">
      <c r="A155" s="2"/>
      <c r="B155" s="2"/>
      <c r="C155" s="2"/>
      <c r="D155" s="2"/>
      <c r="E155" s="2"/>
      <c r="F155" s="2"/>
      <c r="G155" s="2"/>
      <c r="H155" s="2"/>
      <c r="I155" s="2"/>
      <c r="J155" s="2"/>
      <c r="K155" s="2"/>
      <c r="L155" s="2"/>
    </row>
    <row r="156" spans="1:12" x14ac:dyDescent="0.2">
      <c r="A156" s="2"/>
      <c r="B156" s="2"/>
      <c r="C156" s="2"/>
      <c r="D156" s="2"/>
      <c r="E156" s="2"/>
      <c r="F156" s="2"/>
      <c r="G156" s="2"/>
      <c r="H156" s="2"/>
      <c r="I156" s="2"/>
      <c r="J156" s="2"/>
      <c r="K156" s="2"/>
      <c r="L156" s="2"/>
    </row>
    <row r="157" spans="1:12" x14ac:dyDescent="0.2">
      <c r="A157" s="2"/>
      <c r="B157" s="2"/>
      <c r="C157" s="2"/>
      <c r="D157" s="2"/>
      <c r="E157" s="2"/>
      <c r="F157" s="2"/>
      <c r="G157" s="2"/>
      <c r="H157" s="2"/>
      <c r="I157" s="2"/>
      <c r="J157" s="2"/>
      <c r="K157" s="2"/>
      <c r="L157" s="2"/>
    </row>
    <row r="158" spans="1:12" x14ac:dyDescent="0.2">
      <c r="A158" s="2"/>
      <c r="B158" s="2"/>
      <c r="C158" s="2"/>
      <c r="D158" s="2"/>
      <c r="E158" s="2"/>
      <c r="F158" s="2"/>
      <c r="G158" s="2"/>
      <c r="H158" s="2"/>
      <c r="I158" s="2"/>
      <c r="J158" s="2"/>
      <c r="K158" s="2"/>
      <c r="L158" s="2"/>
    </row>
    <row r="159" spans="1:12" x14ac:dyDescent="0.2">
      <c r="A159" s="2"/>
      <c r="B159" s="2"/>
      <c r="C159" s="2"/>
      <c r="D159" s="2"/>
      <c r="E159" s="2"/>
      <c r="F159" s="2"/>
      <c r="G159" s="2"/>
      <c r="H159" s="2"/>
      <c r="I159" s="2"/>
      <c r="J159" s="2"/>
      <c r="K159" s="2"/>
      <c r="L159" s="2"/>
    </row>
    <row r="160" spans="1:12" x14ac:dyDescent="0.2">
      <c r="A160" s="2"/>
      <c r="B160" s="2"/>
      <c r="C160" s="2"/>
      <c r="D160" s="2"/>
      <c r="E160" s="2"/>
      <c r="F160" s="2"/>
      <c r="G160" s="2"/>
      <c r="H160" s="2"/>
      <c r="I160" s="2"/>
      <c r="J160" s="2"/>
      <c r="K160" s="2"/>
      <c r="L160" s="2"/>
    </row>
    <row r="161" spans="1:12" x14ac:dyDescent="0.2">
      <c r="A161" s="2"/>
      <c r="B161" s="2"/>
      <c r="C161" s="2"/>
      <c r="D161" s="2"/>
      <c r="E161" s="2"/>
      <c r="F161" s="2"/>
      <c r="G161" s="2"/>
      <c r="H161" s="2"/>
      <c r="I161" s="2"/>
      <c r="J161" s="2"/>
      <c r="K161" s="2"/>
      <c r="L161" s="2"/>
    </row>
    <row r="162" spans="1:12" x14ac:dyDescent="0.2">
      <c r="A162" s="2"/>
      <c r="B162" s="2"/>
      <c r="C162" s="2"/>
      <c r="D162" s="2"/>
      <c r="E162" s="2"/>
      <c r="F162" s="2"/>
      <c r="G162" s="2"/>
      <c r="H162" s="2"/>
      <c r="I162" s="2"/>
      <c r="J162" s="2"/>
      <c r="K162" s="2"/>
      <c r="L162" s="2"/>
    </row>
    <row r="163" spans="1:12" x14ac:dyDescent="0.2">
      <c r="A163" s="2"/>
      <c r="B163" s="2"/>
      <c r="C163" s="2"/>
      <c r="D163" s="2"/>
      <c r="E163" s="2"/>
      <c r="F163" s="2"/>
      <c r="G163" s="2"/>
      <c r="H163" s="2"/>
      <c r="I163" s="2"/>
      <c r="J163" s="2"/>
      <c r="K163" s="2"/>
      <c r="L163" s="2"/>
    </row>
    <row r="164" spans="1:12" x14ac:dyDescent="0.2">
      <c r="A164" s="2"/>
      <c r="B164" s="2"/>
      <c r="C164" s="2"/>
      <c r="D164" s="2"/>
      <c r="E164" s="2"/>
      <c r="F164" s="2"/>
      <c r="G164" s="2"/>
      <c r="H164" s="2"/>
      <c r="I164" s="2"/>
      <c r="J164" s="2"/>
      <c r="K164" s="2"/>
      <c r="L164" s="2"/>
    </row>
    <row r="165" spans="1:12" x14ac:dyDescent="0.2">
      <c r="A165" s="2"/>
      <c r="B165" s="2"/>
      <c r="C165" s="2"/>
      <c r="D165" s="2"/>
      <c r="E165" s="2"/>
      <c r="F165" s="2"/>
      <c r="G165" s="2"/>
      <c r="H165" s="2"/>
      <c r="I165" s="2"/>
      <c r="J165" s="2"/>
      <c r="K165" s="2"/>
      <c r="L165" s="2"/>
    </row>
    <row r="166" spans="1:12" x14ac:dyDescent="0.2">
      <c r="A166" s="2"/>
      <c r="B166" s="2"/>
      <c r="C166" s="2"/>
      <c r="D166" s="2"/>
      <c r="E166" s="2"/>
      <c r="F166" s="2"/>
      <c r="G166" s="2"/>
      <c r="H166" s="2"/>
      <c r="I166" s="2"/>
      <c r="J166" s="2"/>
      <c r="K166" s="2"/>
      <c r="L166" s="2"/>
    </row>
    <row r="167" spans="1:12" x14ac:dyDescent="0.2">
      <c r="A167" s="2"/>
      <c r="B167" s="2"/>
      <c r="C167" s="2"/>
      <c r="D167" s="2"/>
      <c r="E167" s="2"/>
      <c r="F167" s="2"/>
      <c r="G167" s="2"/>
      <c r="H167" s="2"/>
      <c r="I167" s="2"/>
      <c r="J167" s="2"/>
      <c r="K167" s="2"/>
      <c r="L167" s="2"/>
    </row>
    <row r="168" spans="1:12" x14ac:dyDescent="0.2">
      <c r="A168" s="2"/>
      <c r="B168" s="2"/>
      <c r="C168" s="2"/>
      <c r="D168" s="2"/>
      <c r="E168" s="2"/>
      <c r="F168" s="2"/>
      <c r="G168" s="2"/>
      <c r="H168" s="2"/>
      <c r="I168" s="2"/>
      <c r="J168" s="2"/>
      <c r="K168" s="2"/>
      <c r="L168" s="2"/>
    </row>
    <row r="169" spans="1:12" x14ac:dyDescent="0.2">
      <c r="A169" s="2"/>
      <c r="B169" s="2"/>
      <c r="C169" s="2"/>
      <c r="D169" s="2"/>
      <c r="E169" s="2"/>
      <c r="F169" s="2"/>
      <c r="G169" s="2"/>
      <c r="H169" s="2"/>
      <c r="I169" s="2"/>
      <c r="J169" s="2"/>
      <c r="K169" s="2"/>
      <c r="L169" s="2"/>
    </row>
    <row r="170" spans="1:12" x14ac:dyDescent="0.2">
      <c r="A170" s="2"/>
      <c r="B170" s="2"/>
      <c r="C170" s="2"/>
      <c r="D170" s="2"/>
      <c r="E170" s="2"/>
      <c r="F170" s="2"/>
      <c r="G170" s="2"/>
      <c r="H170" s="2"/>
      <c r="I170" s="2"/>
      <c r="J170" s="2"/>
      <c r="K170" s="2"/>
      <c r="L170" s="2"/>
    </row>
    <row r="171" spans="1:12" x14ac:dyDescent="0.2">
      <c r="A171" s="2"/>
      <c r="B171" s="2"/>
      <c r="C171" s="2"/>
      <c r="D171" s="2"/>
      <c r="E171" s="2"/>
      <c r="F171" s="2"/>
      <c r="G171" s="2"/>
      <c r="H171" s="2"/>
      <c r="I171" s="2"/>
      <c r="J171" s="2"/>
      <c r="K171" s="2"/>
      <c r="L171" s="2"/>
    </row>
    <row r="172" spans="1:12" x14ac:dyDescent="0.2">
      <c r="A172" s="2"/>
      <c r="B172" s="2"/>
      <c r="C172" s="2"/>
      <c r="D172" s="2"/>
      <c r="E172" s="2"/>
      <c r="F172" s="2"/>
      <c r="G172" s="2"/>
      <c r="H172" s="2"/>
      <c r="I172" s="2"/>
      <c r="J172" s="2"/>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A309" s="2"/>
      <c r="B309" s="2"/>
      <c r="C309" s="2"/>
      <c r="D309" s="2"/>
      <c r="E309" s="2"/>
      <c r="F309" s="2"/>
      <c r="G309" s="2"/>
      <c r="H309" s="2"/>
      <c r="I309" s="2"/>
      <c r="J309" s="2"/>
      <c r="K309" s="2"/>
      <c r="L309" s="2"/>
    </row>
    <row r="310" spans="1:12" x14ac:dyDescent="0.2">
      <c r="A310" s="2"/>
      <c r="B310" s="2"/>
      <c r="C310" s="2"/>
      <c r="D310" s="2"/>
      <c r="E310" s="2"/>
      <c r="F310" s="2"/>
      <c r="G310" s="2"/>
      <c r="H310" s="2"/>
      <c r="I310" s="2"/>
      <c r="J310" s="2"/>
      <c r="K310" s="2"/>
      <c r="L310" s="2"/>
    </row>
    <row r="311" spans="1:12" x14ac:dyDescent="0.2">
      <c r="A311" s="2"/>
      <c r="B311" s="2"/>
      <c r="C311" s="2"/>
      <c r="D311" s="2"/>
      <c r="E311" s="2"/>
      <c r="F311" s="2"/>
      <c r="G311" s="2"/>
      <c r="H311" s="2"/>
      <c r="I311" s="2"/>
      <c r="J311" s="2"/>
      <c r="K311" s="2"/>
      <c r="L311" s="2"/>
    </row>
    <row r="312" spans="1:12" x14ac:dyDescent="0.2">
      <c r="A312" s="2"/>
      <c r="B312" s="2"/>
      <c r="C312" s="2"/>
      <c r="D312" s="2"/>
      <c r="E312" s="2"/>
      <c r="F312" s="2"/>
      <c r="G312" s="2"/>
      <c r="H312" s="2"/>
      <c r="I312" s="2"/>
      <c r="J312" s="2"/>
      <c r="K312" s="2"/>
      <c r="L312" s="2"/>
    </row>
    <row r="313" spans="1:12" x14ac:dyDescent="0.2">
      <c r="A313" s="2"/>
      <c r="B313" s="2"/>
      <c r="C313" s="2"/>
      <c r="D313" s="2"/>
      <c r="E313" s="2"/>
      <c r="F313" s="2"/>
      <c r="G313" s="2"/>
      <c r="H313" s="2"/>
      <c r="I313" s="2"/>
      <c r="J313" s="2"/>
      <c r="K313" s="2"/>
      <c r="L313" s="2"/>
    </row>
    <row r="314" spans="1:12" x14ac:dyDescent="0.2">
      <c r="A314" s="2"/>
      <c r="B314" s="2"/>
      <c r="C314" s="2"/>
      <c r="D314" s="2"/>
      <c r="E314" s="2"/>
      <c r="F314" s="2"/>
      <c r="G314" s="2"/>
      <c r="H314" s="2"/>
      <c r="I314" s="2"/>
      <c r="J314" s="2"/>
      <c r="K314" s="2"/>
      <c r="L314" s="2"/>
    </row>
    <row r="315" spans="1:12" x14ac:dyDescent="0.2">
      <c r="A315" s="2"/>
      <c r="B315" s="2"/>
      <c r="C315" s="2"/>
      <c r="D315" s="2"/>
      <c r="E315" s="2"/>
      <c r="F315" s="2"/>
      <c r="G315" s="2"/>
      <c r="H315" s="2"/>
      <c r="I315" s="2"/>
      <c r="J315" s="2"/>
      <c r="K315" s="2"/>
      <c r="L315" s="2"/>
    </row>
    <row r="316" spans="1:12" x14ac:dyDescent="0.2">
      <c r="A316" s="2"/>
      <c r="B316" s="2"/>
      <c r="C316" s="2"/>
      <c r="D316" s="2"/>
      <c r="E316" s="2"/>
      <c r="F316" s="2"/>
      <c r="G316" s="2"/>
      <c r="H316" s="2"/>
      <c r="I316" s="2"/>
      <c r="J316" s="2"/>
      <c r="K316" s="2"/>
      <c r="L316" s="2"/>
    </row>
    <row r="317" spans="1:12" x14ac:dyDescent="0.2">
      <c r="A317" s="2"/>
      <c r="B317" s="2"/>
      <c r="C317" s="2"/>
      <c r="D317" s="2"/>
      <c r="E317" s="2"/>
      <c r="F317" s="2"/>
      <c r="G317" s="2"/>
      <c r="H317" s="2"/>
      <c r="I317" s="2"/>
      <c r="J317" s="2"/>
      <c r="K317" s="2"/>
      <c r="L317" s="2"/>
    </row>
    <row r="318" spans="1:12" x14ac:dyDescent="0.2">
      <c r="A318" s="2"/>
      <c r="B318" s="2"/>
      <c r="C318" s="2"/>
      <c r="D318" s="2"/>
      <c r="E318" s="2"/>
      <c r="F318" s="2"/>
      <c r="G318" s="2"/>
      <c r="H318" s="2"/>
      <c r="I318" s="2"/>
      <c r="J318" s="2"/>
      <c r="K318" s="2"/>
      <c r="L318" s="2"/>
    </row>
    <row r="319" spans="1:12" x14ac:dyDescent="0.2">
      <c r="A319" s="2"/>
      <c r="B319" s="2"/>
      <c r="C319" s="2"/>
      <c r="D319" s="2"/>
      <c r="E319" s="2"/>
      <c r="F319" s="2"/>
      <c r="G319" s="2"/>
      <c r="H319" s="2"/>
      <c r="I319" s="2"/>
      <c r="J319" s="2"/>
      <c r="K319" s="2"/>
      <c r="L319" s="2"/>
    </row>
    <row r="320" spans="1:12" x14ac:dyDescent="0.2">
      <c r="A320" s="2"/>
      <c r="B320" s="2"/>
      <c r="C320" s="2"/>
      <c r="D320" s="2"/>
      <c r="E320" s="2"/>
      <c r="F320" s="2"/>
      <c r="G320" s="2"/>
      <c r="H320" s="2"/>
      <c r="I320" s="2"/>
      <c r="J320" s="2"/>
      <c r="K320" s="2"/>
      <c r="L320" s="2"/>
    </row>
    <row r="321" spans="1:12" x14ac:dyDescent="0.2">
      <c r="A321" s="2"/>
      <c r="B321" s="2"/>
      <c r="C321" s="2"/>
      <c r="D321" s="2"/>
      <c r="E321" s="2"/>
      <c r="F321" s="2"/>
      <c r="G321" s="2"/>
      <c r="H321" s="2"/>
      <c r="I321" s="2"/>
      <c r="J321" s="2"/>
      <c r="K321" s="2"/>
      <c r="L321" s="2"/>
    </row>
    <row r="322" spans="1:12" x14ac:dyDescent="0.2">
      <c r="A322" s="2"/>
      <c r="B322" s="2"/>
      <c r="C322" s="2"/>
      <c r="D322" s="2"/>
      <c r="E322" s="2"/>
      <c r="F322" s="2"/>
      <c r="G322" s="2"/>
      <c r="H322" s="2"/>
      <c r="I322" s="2"/>
      <c r="J322" s="2"/>
      <c r="K322" s="2"/>
      <c r="L322" s="2"/>
    </row>
    <row r="323" spans="1:12" x14ac:dyDescent="0.2">
      <c r="A323" s="2"/>
      <c r="B323" s="2"/>
      <c r="C323" s="2"/>
      <c r="D323" s="2"/>
      <c r="E323" s="2"/>
      <c r="F323" s="2"/>
      <c r="G323" s="2"/>
      <c r="H323" s="2"/>
      <c r="I323" s="2"/>
      <c r="J323" s="2"/>
      <c r="K323" s="2"/>
      <c r="L323" s="2"/>
    </row>
    <row r="324" spans="1:12" x14ac:dyDescent="0.2">
      <c r="A324" s="2"/>
      <c r="B324" s="2"/>
      <c r="C324" s="2"/>
      <c r="D324" s="2"/>
      <c r="E324" s="2"/>
      <c r="F324" s="2"/>
      <c r="G324" s="2"/>
      <c r="H324" s="2"/>
      <c r="I324" s="2"/>
      <c r="J324" s="2"/>
      <c r="K324" s="2"/>
      <c r="L324" s="2"/>
    </row>
    <row r="325" spans="1:12" x14ac:dyDescent="0.2">
      <c r="A325" s="2"/>
      <c r="B325" s="2"/>
      <c r="C325" s="2"/>
      <c r="D325" s="2"/>
      <c r="E325" s="2"/>
      <c r="F325" s="2"/>
      <c r="G325" s="2"/>
      <c r="H325" s="2"/>
      <c r="I325" s="2"/>
      <c r="J325" s="2"/>
      <c r="K325" s="2"/>
      <c r="L325" s="2"/>
    </row>
    <row r="326" spans="1:12" x14ac:dyDescent="0.2">
      <c r="A326" s="2"/>
      <c r="B326" s="2"/>
      <c r="C326" s="2"/>
      <c r="D326" s="2"/>
      <c r="E326" s="2"/>
      <c r="F326" s="2"/>
      <c r="G326" s="2"/>
      <c r="H326" s="2"/>
      <c r="I326" s="2"/>
      <c r="J326" s="2"/>
      <c r="K326" s="2"/>
      <c r="L326" s="2"/>
    </row>
    <row r="327" spans="1:12" x14ac:dyDescent="0.2">
      <c r="A327" s="2"/>
      <c r="B327" s="2"/>
      <c r="C327" s="2"/>
      <c r="D327" s="2"/>
      <c r="E327" s="2"/>
      <c r="F327" s="2"/>
      <c r="G327" s="2"/>
      <c r="H327" s="2"/>
      <c r="I327" s="2"/>
      <c r="J327" s="2"/>
      <c r="K327" s="2"/>
      <c r="L327" s="2"/>
    </row>
    <row r="328" spans="1:12" x14ac:dyDescent="0.2">
      <c r="A328" s="2"/>
      <c r="B328" s="2"/>
      <c r="C328" s="2"/>
      <c r="D328" s="2"/>
      <c r="E328" s="2"/>
      <c r="F328" s="2"/>
      <c r="G328" s="2"/>
      <c r="H328" s="2"/>
      <c r="I328" s="2"/>
      <c r="J328" s="2"/>
      <c r="K328" s="2"/>
      <c r="L328" s="2"/>
    </row>
    <row r="329" spans="1:12" x14ac:dyDescent="0.2">
      <c r="A329" s="2"/>
      <c r="B329" s="2"/>
      <c r="C329" s="2"/>
      <c r="D329" s="2"/>
      <c r="E329" s="2"/>
      <c r="F329" s="2"/>
      <c r="G329" s="2"/>
      <c r="H329" s="2"/>
      <c r="I329" s="2"/>
      <c r="J329" s="2"/>
      <c r="K329" s="2"/>
      <c r="L329" s="2"/>
    </row>
    <row r="330" spans="1:12" x14ac:dyDescent="0.2">
      <c r="A330" s="2"/>
      <c r="B330" s="2"/>
      <c r="C330" s="2"/>
      <c r="D330" s="2"/>
      <c r="E330" s="2"/>
      <c r="F330" s="2"/>
      <c r="G330" s="2"/>
      <c r="H330" s="2"/>
      <c r="I330" s="2"/>
      <c r="J330" s="2"/>
      <c r="K330" s="2"/>
      <c r="L330" s="2"/>
    </row>
    <row r="331" spans="1:12" x14ac:dyDescent="0.2">
      <c r="A331" s="2"/>
      <c r="B331" s="2"/>
      <c r="C331" s="2"/>
      <c r="D331" s="2"/>
      <c r="E331" s="2"/>
      <c r="F331" s="2"/>
      <c r="G331" s="2"/>
      <c r="H331" s="2"/>
      <c r="I331" s="2"/>
      <c r="J331" s="2"/>
      <c r="K331" s="2"/>
      <c r="L331" s="2"/>
    </row>
    <row r="332" spans="1:12" x14ac:dyDescent="0.2">
      <c r="A332" s="2"/>
      <c r="B332" s="2"/>
      <c r="C332" s="2"/>
      <c r="D332" s="2"/>
      <c r="E332" s="2"/>
      <c r="F332" s="2"/>
      <c r="G332" s="2"/>
      <c r="H332" s="2"/>
      <c r="I332" s="2"/>
      <c r="J332" s="2"/>
      <c r="K332" s="2"/>
      <c r="L332" s="2"/>
    </row>
    <row r="333" spans="1:12" x14ac:dyDescent="0.2">
      <c r="A333" s="2"/>
      <c r="B333" s="2"/>
      <c r="C333" s="2"/>
      <c r="D333" s="2"/>
      <c r="E333" s="2"/>
      <c r="F333" s="2"/>
      <c r="G333" s="2"/>
      <c r="H333" s="2"/>
      <c r="I333" s="2"/>
      <c r="J333" s="2"/>
      <c r="K333" s="2"/>
      <c r="L333" s="2"/>
    </row>
    <row r="334" spans="1:12" x14ac:dyDescent="0.2">
      <c r="A334" s="2"/>
      <c r="B334" s="2"/>
      <c r="C334" s="2"/>
      <c r="D334" s="2"/>
      <c r="E334" s="2"/>
      <c r="F334" s="2"/>
      <c r="G334" s="2"/>
      <c r="H334" s="2"/>
      <c r="I334" s="2"/>
      <c r="J334" s="2"/>
      <c r="K334" s="2"/>
      <c r="L334" s="2"/>
    </row>
    <row r="335" spans="1:12" x14ac:dyDescent="0.2">
      <c r="A335" s="2"/>
      <c r="B335" s="2"/>
      <c r="C335" s="2"/>
      <c r="D335" s="2"/>
      <c r="E335" s="2"/>
      <c r="F335" s="2"/>
      <c r="G335" s="2"/>
      <c r="H335" s="2"/>
      <c r="I335" s="2"/>
      <c r="J335" s="2"/>
      <c r="K335" s="2"/>
      <c r="L335" s="2"/>
    </row>
    <row r="336" spans="1:12" x14ac:dyDescent="0.2">
      <c r="A336" s="2"/>
      <c r="B336" s="2"/>
      <c r="C336" s="2"/>
      <c r="D336" s="2"/>
      <c r="E336" s="2"/>
      <c r="F336" s="2"/>
      <c r="G336" s="2"/>
      <c r="H336" s="2"/>
      <c r="I336" s="2"/>
      <c r="J336" s="2"/>
      <c r="K336" s="2"/>
      <c r="L336" s="2"/>
    </row>
    <row r="337" spans="1:12" x14ac:dyDescent="0.2">
      <c r="A337" s="2"/>
      <c r="B337" s="2"/>
      <c r="C337" s="2"/>
      <c r="D337" s="2"/>
      <c r="E337" s="2"/>
      <c r="F337" s="2"/>
      <c r="G337" s="2"/>
      <c r="H337" s="2"/>
      <c r="I337" s="2"/>
      <c r="J337" s="2"/>
      <c r="K337" s="2"/>
      <c r="L337" s="2"/>
    </row>
    <row r="338" spans="1:12" x14ac:dyDescent="0.2">
      <c r="A338" s="2"/>
      <c r="B338" s="2"/>
      <c r="C338" s="2"/>
      <c r="D338" s="2"/>
      <c r="E338" s="2"/>
      <c r="F338" s="2"/>
      <c r="G338" s="2"/>
      <c r="H338" s="2"/>
      <c r="I338" s="2"/>
      <c r="J338" s="2"/>
      <c r="K338" s="2"/>
      <c r="L338" s="2"/>
    </row>
    <row r="339" spans="1:12" x14ac:dyDescent="0.2">
      <c r="A339" s="2"/>
      <c r="B339" s="2"/>
      <c r="C339" s="2"/>
      <c r="D339" s="2"/>
      <c r="E339" s="2"/>
      <c r="F339" s="2"/>
      <c r="G339" s="2"/>
      <c r="H339" s="2"/>
      <c r="I339" s="2"/>
      <c r="J339" s="2"/>
      <c r="K339" s="2"/>
      <c r="L339" s="2"/>
    </row>
    <row r="340" spans="1:12" x14ac:dyDescent="0.2">
      <c r="A340" s="2"/>
      <c r="B340" s="2"/>
      <c r="C340" s="2"/>
      <c r="D340" s="2"/>
      <c r="E340" s="2"/>
      <c r="F340" s="2"/>
      <c r="G340" s="2"/>
      <c r="H340" s="2"/>
      <c r="I340" s="2"/>
      <c r="J340" s="2"/>
      <c r="K340" s="2"/>
      <c r="L340" s="2"/>
    </row>
    <row r="341" spans="1:12" x14ac:dyDescent="0.2">
      <c r="A341" s="2"/>
      <c r="B341" s="2"/>
      <c r="C341" s="2"/>
      <c r="D341" s="2"/>
      <c r="E341" s="2"/>
      <c r="F341" s="2"/>
      <c r="G341" s="2"/>
      <c r="H341" s="2"/>
      <c r="I341" s="2"/>
      <c r="J341" s="2"/>
      <c r="K341" s="2"/>
      <c r="L341" s="2"/>
    </row>
    <row r="342" spans="1:12" x14ac:dyDescent="0.2">
      <c r="A342" s="2"/>
      <c r="B342" s="2"/>
      <c r="C342" s="2"/>
      <c r="D342" s="2"/>
      <c r="E342" s="2"/>
      <c r="F342" s="2"/>
      <c r="G342" s="2"/>
      <c r="H342" s="2"/>
      <c r="I342" s="2"/>
      <c r="J342" s="2"/>
      <c r="K342" s="2"/>
      <c r="L342" s="2"/>
    </row>
    <row r="343" spans="1:12" x14ac:dyDescent="0.2">
      <c r="A343" s="2"/>
      <c r="B343" s="2"/>
      <c r="C343" s="2"/>
      <c r="D343" s="2"/>
      <c r="E343" s="2"/>
      <c r="F343" s="2"/>
      <c r="G343" s="2"/>
      <c r="H343" s="2"/>
      <c r="I343" s="2"/>
      <c r="J343" s="2"/>
      <c r="K343" s="2"/>
      <c r="L343" s="2"/>
    </row>
    <row r="344" spans="1:12" x14ac:dyDescent="0.2">
      <c r="A344" s="2"/>
      <c r="B344" s="2"/>
      <c r="C344" s="2"/>
      <c r="D344" s="2"/>
      <c r="E344" s="2"/>
      <c r="F344" s="2"/>
      <c r="G344" s="2"/>
      <c r="H344" s="2"/>
      <c r="I344" s="2"/>
      <c r="J344" s="2"/>
      <c r="K344" s="2"/>
      <c r="L344" s="2"/>
    </row>
    <row r="345" spans="1:12" x14ac:dyDescent="0.2">
      <c r="A345" s="2"/>
      <c r="B345" s="2"/>
      <c r="C345" s="2"/>
      <c r="D345" s="2"/>
      <c r="E345" s="2"/>
      <c r="F345" s="2"/>
      <c r="G345" s="2"/>
      <c r="H345" s="2"/>
      <c r="I345" s="2"/>
      <c r="J345" s="2"/>
      <c r="K345" s="2"/>
      <c r="L345" s="2"/>
    </row>
    <row r="346" spans="1:12" x14ac:dyDescent="0.2">
      <c r="A346" s="2"/>
      <c r="B346" s="2"/>
      <c r="C346" s="2"/>
      <c r="D346" s="2"/>
      <c r="E346" s="2"/>
      <c r="F346" s="2"/>
      <c r="G346" s="2"/>
      <c r="H346" s="2"/>
      <c r="I346" s="2"/>
      <c r="J346" s="2"/>
      <c r="K346" s="2"/>
      <c r="L346" s="2"/>
    </row>
    <row r="347" spans="1:12" x14ac:dyDescent="0.2">
      <c r="A347" s="2"/>
      <c r="B347" s="2"/>
      <c r="C347" s="2"/>
      <c r="D347" s="2"/>
      <c r="E347" s="2"/>
      <c r="F347" s="2"/>
      <c r="G347" s="2"/>
      <c r="H347" s="2"/>
      <c r="I347" s="2"/>
      <c r="J347" s="2"/>
      <c r="K347" s="2"/>
      <c r="L347" s="2"/>
    </row>
    <row r="348" spans="1:12" x14ac:dyDescent="0.2">
      <c r="A348" s="2"/>
      <c r="B348" s="2"/>
      <c r="C348" s="2"/>
      <c r="D348" s="2"/>
      <c r="E348" s="2"/>
      <c r="F348" s="2"/>
      <c r="G348" s="2"/>
      <c r="H348" s="2"/>
      <c r="I348" s="2"/>
      <c r="J348" s="2"/>
      <c r="K348" s="2"/>
      <c r="L348" s="2"/>
    </row>
    <row r="349" spans="1:12" x14ac:dyDescent="0.2">
      <c r="A349" s="2"/>
      <c r="B349" s="2"/>
      <c r="C349" s="2"/>
      <c r="D349" s="2"/>
      <c r="E349" s="2"/>
      <c r="F349" s="2"/>
      <c r="G349" s="2"/>
      <c r="H349" s="2"/>
      <c r="I349" s="2"/>
      <c r="J349" s="2"/>
      <c r="K349" s="2"/>
      <c r="L349" s="2"/>
    </row>
    <row r="350" spans="1:12" x14ac:dyDescent="0.2">
      <c r="A350" s="2"/>
      <c r="B350" s="2"/>
      <c r="C350" s="2"/>
      <c r="D350" s="2"/>
      <c r="E350" s="2"/>
      <c r="F350" s="2"/>
      <c r="G350" s="2"/>
      <c r="H350" s="2"/>
      <c r="I350" s="2"/>
      <c r="J350" s="2"/>
      <c r="K350" s="2"/>
      <c r="L350" s="2"/>
    </row>
    <row r="351" spans="1:12" x14ac:dyDescent="0.2">
      <c r="A351" s="2"/>
      <c r="B351" s="2"/>
      <c r="C351" s="2"/>
      <c r="D351" s="2"/>
      <c r="E351" s="2"/>
      <c r="F351" s="2"/>
      <c r="G351" s="2"/>
      <c r="H351" s="2"/>
      <c r="I351" s="2"/>
      <c r="J351" s="2"/>
      <c r="K351" s="2"/>
      <c r="L351" s="2"/>
    </row>
    <row r="352" spans="1:12" x14ac:dyDescent="0.2">
      <c r="A352" s="2"/>
      <c r="B352" s="2"/>
      <c r="C352" s="2"/>
      <c r="D352" s="2"/>
      <c r="E352" s="2"/>
      <c r="F352" s="2"/>
      <c r="G352" s="2"/>
      <c r="H352" s="2"/>
      <c r="I352" s="2"/>
      <c r="J352" s="2"/>
      <c r="K352" s="2"/>
      <c r="L352" s="2"/>
    </row>
    <row r="353" spans="1:12" x14ac:dyDescent="0.2">
      <c r="A353" s="2"/>
      <c r="B353" s="2"/>
      <c r="C353" s="2"/>
      <c r="D353" s="2"/>
      <c r="E353" s="2"/>
      <c r="F353" s="2"/>
      <c r="G353" s="2"/>
      <c r="H353" s="2"/>
      <c r="I353" s="2"/>
      <c r="J353" s="2"/>
      <c r="K353" s="2"/>
      <c r="L353" s="2"/>
    </row>
    <row r="354" spans="1:12" x14ac:dyDescent="0.2">
      <c r="A354" s="2"/>
      <c r="B354" s="2"/>
      <c r="C354" s="2"/>
      <c r="D354" s="2"/>
      <c r="E354" s="2"/>
      <c r="F354" s="2"/>
      <c r="G354" s="2"/>
      <c r="H354" s="2"/>
      <c r="I354" s="2"/>
      <c r="J354" s="2"/>
      <c r="K354" s="2"/>
      <c r="L354" s="2"/>
    </row>
    <row r="355" spans="1:12" x14ac:dyDescent="0.2">
      <c r="A355" s="2"/>
      <c r="B355" s="2"/>
      <c r="C355" s="2"/>
      <c r="D355" s="2"/>
      <c r="E355" s="2"/>
      <c r="F355" s="2"/>
      <c r="G355" s="2"/>
      <c r="H355" s="2"/>
      <c r="I355" s="2"/>
      <c r="J355" s="2"/>
      <c r="K355" s="2"/>
      <c r="L355" s="2"/>
    </row>
    <row r="356" spans="1:12" x14ac:dyDescent="0.2">
      <c r="A356" s="2"/>
      <c r="B356" s="2"/>
      <c r="C356" s="2"/>
      <c r="D356" s="2"/>
      <c r="E356" s="2"/>
      <c r="F356" s="2"/>
      <c r="G356" s="2"/>
      <c r="H356" s="2"/>
      <c r="I356" s="2"/>
      <c r="J356" s="2"/>
      <c r="K356" s="2"/>
      <c r="L356" s="2"/>
    </row>
    <row r="357" spans="1:12" x14ac:dyDescent="0.2">
      <c r="A357" s="2"/>
      <c r="B357" s="2"/>
      <c r="C357" s="2"/>
      <c r="D357" s="2"/>
      <c r="E357" s="2"/>
      <c r="F357" s="2"/>
      <c r="G357" s="2"/>
      <c r="H357" s="2"/>
      <c r="I357" s="2"/>
      <c r="J357" s="2"/>
      <c r="K357" s="2"/>
      <c r="L357" s="2"/>
    </row>
    <row r="358" spans="1:12" x14ac:dyDescent="0.2">
      <c r="A358" s="2"/>
      <c r="B358" s="2"/>
      <c r="C358" s="2"/>
      <c r="D358" s="2"/>
      <c r="E358" s="2"/>
      <c r="F358" s="2"/>
      <c r="G358" s="2"/>
      <c r="H358" s="2"/>
      <c r="I358" s="2"/>
      <c r="J358" s="2"/>
      <c r="K358" s="2"/>
      <c r="L358" s="2"/>
    </row>
    <row r="359" spans="1:12" x14ac:dyDescent="0.2">
      <c r="A359" s="2"/>
      <c r="B359" s="2"/>
      <c r="C359" s="2"/>
      <c r="D359" s="2"/>
      <c r="E359" s="2"/>
      <c r="F359" s="2"/>
      <c r="G359" s="2"/>
      <c r="H359" s="2"/>
      <c r="I359" s="2"/>
      <c r="J359" s="2"/>
      <c r="K359" s="2"/>
      <c r="L359" s="2"/>
    </row>
    <row r="360" spans="1:12" x14ac:dyDescent="0.2">
      <c r="A360" s="2"/>
      <c r="B360" s="2"/>
      <c r="C360" s="2"/>
      <c r="D360" s="2"/>
      <c r="E360" s="2"/>
      <c r="F360" s="2"/>
      <c r="G360" s="2"/>
      <c r="H360" s="2"/>
      <c r="I360" s="2"/>
      <c r="J360" s="2"/>
      <c r="K360" s="2"/>
      <c r="L360" s="2"/>
    </row>
    <row r="361" spans="1:12" x14ac:dyDescent="0.2">
      <c r="A361" s="2"/>
      <c r="B361" s="2"/>
      <c r="C361" s="2"/>
      <c r="D361" s="2"/>
      <c r="E361" s="2"/>
      <c r="F361" s="2"/>
      <c r="G361" s="2"/>
      <c r="H361" s="2"/>
      <c r="I361" s="2"/>
      <c r="J361" s="2"/>
      <c r="K361" s="2"/>
      <c r="L361" s="2"/>
    </row>
    <row r="362" spans="1:12" x14ac:dyDescent="0.2">
      <c r="A362" s="2"/>
      <c r="B362" s="2"/>
      <c r="C362" s="2"/>
      <c r="D362" s="2"/>
      <c r="E362" s="2"/>
      <c r="F362" s="2"/>
      <c r="G362" s="2"/>
      <c r="H362" s="2"/>
      <c r="I362" s="2"/>
      <c r="J362" s="2"/>
      <c r="K362" s="2"/>
      <c r="L362" s="2"/>
    </row>
    <row r="363" spans="1:12" x14ac:dyDescent="0.2">
      <c r="A363" s="2"/>
      <c r="B363" s="2"/>
      <c r="C363" s="2"/>
      <c r="D363" s="2"/>
      <c r="E363" s="2"/>
      <c r="F363" s="2"/>
      <c r="G363" s="2"/>
      <c r="H363" s="2"/>
      <c r="I363" s="2"/>
      <c r="J363" s="2"/>
      <c r="K363" s="2"/>
      <c r="L363" s="2"/>
    </row>
    <row r="364" spans="1:12" x14ac:dyDescent="0.2">
      <c r="A364" s="2"/>
      <c r="B364" s="2"/>
      <c r="C364" s="2"/>
      <c r="D364" s="2"/>
      <c r="E364" s="2"/>
      <c r="F364" s="2"/>
      <c r="G364" s="2"/>
      <c r="H364" s="2"/>
      <c r="I364" s="2"/>
      <c r="J364" s="2"/>
      <c r="K364" s="2"/>
      <c r="L364" s="2"/>
    </row>
    <row r="365" spans="1:12" x14ac:dyDescent="0.2">
      <c r="A365" s="2"/>
      <c r="B365" s="2"/>
      <c r="C365" s="2"/>
      <c r="D365" s="2"/>
      <c r="E365" s="2"/>
      <c r="F365" s="2"/>
      <c r="G365" s="2"/>
      <c r="H365" s="2"/>
      <c r="I365" s="2"/>
      <c r="J365" s="2"/>
      <c r="K365" s="2"/>
      <c r="L365" s="2"/>
    </row>
    <row r="366" spans="1:12" x14ac:dyDescent="0.2">
      <c r="A366" s="2"/>
      <c r="B366" s="2"/>
      <c r="C366" s="2"/>
      <c r="D366" s="2"/>
      <c r="E366" s="2"/>
      <c r="F366" s="2"/>
      <c r="G366" s="2"/>
      <c r="H366" s="2"/>
      <c r="I366" s="2"/>
      <c r="J366" s="2"/>
      <c r="K366" s="2"/>
      <c r="L366" s="2"/>
    </row>
    <row r="367" spans="1:12" x14ac:dyDescent="0.2">
      <c r="A367" s="2"/>
      <c r="B367" s="2"/>
      <c r="C367" s="2"/>
      <c r="D367" s="2"/>
      <c r="E367" s="2"/>
      <c r="F367" s="2"/>
      <c r="G367" s="2"/>
      <c r="H367" s="2"/>
      <c r="I367" s="2"/>
      <c r="J367" s="2"/>
      <c r="K367" s="2"/>
      <c r="L367" s="2"/>
    </row>
    <row r="368" spans="1:12" x14ac:dyDescent="0.2">
      <c r="A368" s="2"/>
      <c r="B368" s="2"/>
      <c r="C368" s="2"/>
      <c r="D368" s="2"/>
      <c r="E368" s="2"/>
      <c r="F368" s="2"/>
      <c r="G368" s="2"/>
      <c r="H368" s="2"/>
      <c r="I368" s="2"/>
      <c r="J368" s="2"/>
      <c r="K368" s="2"/>
      <c r="L368" s="2"/>
    </row>
    <row r="369" spans="1:12" x14ac:dyDescent="0.2">
      <c r="A369" s="2"/>
      <c r="B369" s="2"/>
      <c r="C369" s="2"/>
      <c r="D369" s="2"/>
      <c r="E369" s="2"/>
      <c r="F369" s="2"/>
      <c r="G369" s="2"/>
      <c r="H369" s="2"/>
      <c r="I369" s="2"/>
      <c r="J369" s="2"/>
      <c r="K369" s="2"/>
      <c r="L369" s="2"/>
    </row>
    <row r="370" spans="1:12" x14ac:dyDescent="0.2">
      <c r="A370" s="2"/>
      <c r="B370" s="2"/>
      <c r="C370" s="2"/>
      <c r="D370" s="2"/>
      <c r="E370" s="2"/>
      <c r="F370" s="2"/>
      <c r="G370" s="2"/>
      <c r="H370" s="2"/>
      <c r="I370" s="2"/>
      <c r="J370" s="2"/>
      <c r="K370" s="2"/>
      <c r="L370" s="2"/>
    </row>
    <row r="371" spans="1:12" x14ac:dyDescent="0.2">
      <c r="A371" s="2"/>
      <c r="B371" s="2"/>
      <c r="C371" s="2"/>
      <c r="D371" s="2"/>
      <c r="E371" s="2"/>
      <c r="F371" s="2"/>
      <c r="G371" s="2"/>
      <c r="H371" s="2"/>
      <c r="I371" s="2"/>
      <c r="J371" s="2"/>
      <c r="K371" s="2"/>
      <c r="L371" s="2"/>
    </row>
    <row r="372" spans="1:12" x14ac:dyDescent="0.2">
      <c r="A372" s="2"/>
      <c r="B372" s="2"/>
      <c r="C372" s="2"/>
      <c r="D372" s="2"/>
      <c r="E372" s="2"/>
      <c r="F372" s="2"/>
      <c r="G372" s="2"/>
      <c r="H372" s="2"/>
      <c r="I372" s="2"/>
      <c r="J372" s="2"/>
      <c r="K372" s="2"/>
      <c r="L372" s="2"/>
    </row>
    <row r="373" spans="1:12" x14ac:dyDescent="0.2">
      <c r="A373" s="2"/>
      <c r="B373" s="2"/>
      <c r="C373" s="2"/>
      <c r="D373" s="2"/>
      <c r="E373" s="2"/>
      <c r="F373" s="2"/>
      <c r="G373" s="2"/>
      <c r="H373" s="2"/>
      <c r="I373" s="2"/>
      <c r="J373" s="2"/>
      <c r="K373" s="2"/>
      <c r="L373" s="2"/>
    </row>
    <row r="374" spans="1:12" x14ac:dyDescent="0.2">
      <c r="A374" s="2"/>
      <c r="B374" s="2"/>
      <c r="C374" s="2"/>
      <c r="D374" s="2"/>
      <c r="E374" s="2"/>
      <c r="F374" s="2"/>
      <c r="G374" s="2"/>
      <c r="H374" s="2"/>
      <c r="I374" s="2"/>
      <c r="J374" s="2"/>
      <c r="K374" s="2"/>
      <c r="L374" s="2"/>
    </row>
    <row r="375" spans="1:12" x14ac:dyDescent="0.2">
      <c r="A375" s="2"/>
      <c r="B375" s="2"/>
      <c r="C375" s="2"/>
      <c r="D375" s="2"/>
      <c r="E375" s="2"/>
      <c r="F375" s="2"/>
      <c r="G375" s="2"/>
      <c r="H375" s="2"/>
      <c r="I375" s="2"/>
      <c r="J375" s="2"/>
      <c r="K375" s="2"/>
      <c r="L375" s="2"/>
    </row>
    <row r="376" spans="1:12" x14ac:dyDescent="0.2">
      <c r="A376" s="2"/>
      <c r="B376" s="2"/>
      <c r="C376" s="2"/>
      <c r="D376" s="2"/>
      <c r="E376" s="2"/>
      <c r="F376" s="2"/>
      <c r="G376" s="2"/>
      <c r="H376" s="2"/>
      <c r="I376" s="2"/>
      <c r="J376" s="2"/>
      <c r="K376" s="2"/>
      <c r="L376" s="2"/>
    </row>
    <row r="377" spans="1:12" x14ac:dyDescent="0.2">
      <c r="A377" s="2"/>
      <c r="B377" s="2"/>
      <c r="C377" s="2"/>
      <c r="D377" s="2"/>
      <c r="E377" s="2"/>
      <c r="F377" s="2"/>
      <c r="G377" s="2"/>
      <c r="H377" s="2"/>
      <c r="I377" s="2"/>
      <c r="J377" s="2"/>
      <c r="K377" s="2"/>
      <c r="L377" s="2"/>
    </row>
    <row r="378" spans="1:12" x14ac:dyDescent="0.2">
      <c r="A378" s="2"/>
      <c r="B378" s="2"/>
      <c r="C378" s="2"/>
      <c r="D378" s="2"/>
      <c r="E378" s="2"/>
      <c r="F378" s="2"/>
      <c r="G378" s="2"/>
      <c r="H378" s="2"/>
      <c r="I378" s="2"/>
      <c r="J378" s="2"/>
      <c r="K378" s="2"/>
      <c r="L378" s="2"/>
    </row>
    <row r="379" spans="1:12" x14ac:dyDescent="0.2">
      <c r="A379" s="2"/>
      <c r="B379" s="2"/>
      <c r="C379" s="2"/>
      <c r="D379" s="2"/>
      <c r="E379" s="2"/>
      <c r="F379" s="2"/>
      <c r="G379" s="2"/>
      <c r="H379" s="2"/>
      <c r="I379" s="2"/>
      <c r="J379" s="2"/>
      <c r="K379" s="2"/>
      <c r="L379" s="2"/>
    </row>
    <row r="380" spans="1:12" x14ac:dyDescent="0.2">
      <c r="A380" s="2"/>
      <c r="B380" s="2"/>
      <c r="C380" s="2"/>
      <c r="D380" s="2"/>
      <c r="E380" s="2"/>
      <c r="F380" s="2"/>
      <c r="G380" s="2"/>
      <c r="H380" s="2"/>
      <c r="I380" s="2"/>
      <c r="J380" s="2"/>
      <c r="K380" s="2"/>
      <c r="L380" s="2"/>
    </row>
    <row r="381" spans="1:12" x14ac:dyDescent="0.2">
      <c r="A381" s="2"/>
      <c r="B381" s="2"/>
      <c r="C381" s="2"/>
      <c r="D381" s="2"/>
      <c r="E381" s="2"/>
      <c r="F381" s="2"/>
      <c r="G381" s="2"/>
      <c r="H381" s="2"/>
      <c r="I381" s="2"/>
      <c r="J381" s="2"/>
      <c r="K381" s="2"/>
      <c r="L381" s="2"/>
    </row>
    <row r="382" spans="1:12" x14ac:dyDescent="0.2">
      <c r="A382" s="2"/>
      <c r="B382" s="2"/>
      <c r="C382" s="2"/>
      <c r="D382" s="2"/>
      <c r="E382" s="2"/>
      <c r="F382" s="2"/>
      <c r="G382" s="2"/>
      <c r="H382" s="2"/>
      <c r="I382" s="2"/>
      <c r="J382" s="2"/>
      <c r="K382" s="2"/>
      <c r="L382" s="2"/>
    </row>
    <row r="383" spans="1:12" x14ac:dyDescent="0.2">
      <c r="A383" s="2"/>
      <c r="B383" s="2"/>
      <c r="C383" s="2"/>
      <c r="D383" s="2"/>
      <c r="E383" s="2"/>
      <c r="F383" s="2"/>
      <c r="G383" s="2"/>
      <c r="H383" s="2"/>
      <c r="I383" s="2"/>
      <c r="J383" s="2"/>
      <c r="K383" s="2"/>
      <c r="L383" s="2"/>
    </row>
    <row r="384" spans="1:12" x14ac:dyDescent="0.2">
      <c r="A384" s="2"/>
      <c r="B384" s="2"/>
      <c r="C384" s="2"/>
      <c r="D384" s="2"/>
      <c r="E384" s="2"/>
      <c r="F384" s="2"/>
      <c r="G384" s="2"/>
      <c r="H384" s="2"/>
      <c r="I384" s="2"/>
      <c r="J384" s="2"/>
      <c r="K384" s="2"/>
      <c r="L384" s="2"/>
    </row>
    <row r="385" spans="1:12" x14ac:dyDescent="0.2">
      <c r="A385" s="2"/>
      <c r="B385" s="2"/>
      <c r="C385" s="2"/>
      <c r="D385" s="2"/>
      <c r="E385" s="2"/>
      <c r="F385" s="2"/>
      <c r="G385" s="2"/>
      <c r="H385" s="2"/>
      <c r="I385" s="2"/>
      <c r="J385" s="2"/>
      <c r="K385" s="2"/>
      <c r="L385" s="2"/>
    </row>
    <row r="386" spans="1:12" x14ac:dyDescent="0.2">
      <c r="A386" s="2"/>
      <c r="B386" s="2"/>
      <c r="C386" s="2"/>
      <c r="D386" s="2"/>
      <c r="E386" s="2"/>
      <c r="F386" s="2"/>
      <c r="G386" s="2"/>
      <c r="H386" s="2"/>
      <c r="I386" s="2"/>
      <c r="J386" s="2"/>
      <c r="K386" s="2"/>
      <c r="L386" s="2"/>
    </row>
    <row r="387" spans="1:12" x14ac:dyDescent="0.2">
      <c r="A387" s="2"/>
      <c r="B387" s="2"/>
      <c r="C387" s="2"/>
      <c r="D387" s="2"/>
      <c r="E387" s="2"/>
      <c r="F387" s="2"/>
      <c r="G387" s="2"/>
      <c r="H387" s="2"/>
      <c r="I387" s="2"/>
      <c r="J387" s="2"/>
      <c r="K387" s="2"/>
      <c r="L387" s="2"/>
    </row>
    <row r="388" spans="1:12" x14ac:dyDescent="0.2">
      <c r="A388" s="2"/>
      <c r="B388" s="2"/>
      <c r="C388" s="2"/>
      <c r="D388" s="2"/>
      <c r="E388" s="2"/>
      <c r="F388" s="2"/>
      <c r="G388" s="2"/>
      <c r="H388" s="2"/>
      <c r="I388" s="2"/>
      <c r="J388" s="2"/>
      <c r="K388" s="2"/>
      <c r="L388" s="2"/>
    </row>
    <row r="389" spans="1:12" x14ac:dyDescent="0.2">
      <c r="A389" s="2"/>
      <c r="B389" s="2"/>
      <c r="C389" s="2"/>
      <c r="D389" s="2"/>
      <c r="E389" s="2"/>
      <c r="F389" s="2"/>
      <c r="G389" s="2"/>
      <c r="H389" s="2"/>
      <c r="I389" s="2"/>
      <c r="J389" s="2"/>
      <c r="K389" s="2"/>
      <c r="L389" s="2"/>
    </row>
    <row r="390" spans="1:12" x14ac:dyDescent="0.2">
      <c r="A390" s="2"/>
      <c r="B390" s="2"/>
      <c r="C390" s="2"/>
      <c r="D390" s="2"/>
      <c r="E390" s="2"/>
      <c r="F390" s="2"/>
      <c r="G390" s="2"/>
      <c r="H390" s="2"/>
      <c r="I390" s="2"/>
      <c r="J390" s="2"/>
      <c r="K390" s="2"/>
      <c r="L390" s="2"/>
    </row>
    <row r="391" spans="1:12" x14ac:dyDescent="0.2">
      <c r="A391" s="2"/>
      <c r="B391" s="2"/>
      <c r="C391" s="2"/>
      <c r="D391" s="2"/>
      <c r="E391" s="2"/>
      <c r="F391" s="2"/>
      <c r="G391" s="2"/>
      <c r="H391" s="2"/>
      <c r="I391" s="2"/>
      <c r="J391" s="2"/>
      <c r="K391" s="2"/>
      <c r="L391" s="2"/>
    </row>
    <row r="392" spans="1:12" x14ac:dyDescent="0.2">
      <c r="A392" s="2"/>
      <c r="B392" s="2"/>
      <c r="C392" s="2"/>
      <c r="D392" s="2"/>
      <c r="E392" s="2"/>
      <c r="F392" s="2"/>
      <c r="G392" s="2"/>
      <c r="H392" s="2"/>
      <c r="I392" s="2"/>
      <c r="J392" s="2"/>
      <c r="K392" s="2"/>
      <c r="L392" s="2"/>
    </row>
    <row r="393" spans="1:12" x14ac:dyDescent="0.2">
      <c r="A393" s="2"/>
      <c r="B393" s="2"/>
      <c r="C393" s="2"/>
      <c r="D393" s="2"/>
      <c r="E393" s="2"/>
      <c r="F393" s="2"/>
      <c r="G393" s="2"/>
      <c r="H393" s="2"/>
      <c r="I393" s="2"/>
      <c r="J393" s="2"/>
      <c r="K393" s="2"/>
      <c r="L393" s="2"/>
    </row>
    <row r="394" spans="1:12" x14ac:dyDescent="0.2">
      <c r="A394" s="2"/>
      <c r="B394" s="2"/>
      <c r="C394" s="2"/>
      <c r="D394" s="2"/>
      <c r="E394" s="2"/>
      <c r="F394" s="2"/>
      <c r="G394" s="2"/>
      <c r="H394" s="2"/>
      <c r="I394" s="2"/>
      <c r="J394" s="2"/>
      <c r="K394" s="2"/>
      <c r="L394" s="2"/>
    </row>
    <row r="395" spans="1:12" x14ac:dyDescent="0.2">
      <c r="A395" s="2"/>
      <c r="B395" s="2"/>
      <c r="C395" s="2"/>
      <c r="D395" s="2"/>
      <c r="E395" s="2"/>
      <c r="F395" s="2"/>
      <c r="G395" s="2"/>
      <c r="H395" s="2"/>
      <c r="I395" s="2"/>
      <c r="J395" s="2"/>
      <c r="K395" s="2"/>
      <c r="L395" s="2"/>
    </row>
    <row r="396" spans="1:12" x14ac:dyDescent="0.2">
      <c r="A396" s="2"/>
      <c r="B396" s="2"/>
      <c r="C396" s="2"/>
      <c r="D396" s="2"/>
      <c r="E396" s="2"/>
      <c r="F396" s="2"/>
      <c r="G396" s="2"/>
      <c r="H396" s="2"/>
      <c r="I396" s="2"/>
      <c r="J396" s="2"/>
      <c r="K396" s="2"/>
      <c r="L396" s="2"/>
    </row>
    <row r="397" spans="1:12" x14ac:dyDescent="0.2">
      <c r="A397" s="2"/>
      <c r="B397" s="2"/>
      <c r="C397" s="2"/>
      <c r="D397" s="2"/>
      <c r="E397" s="2"/>
      <c r="F397" s="2"/>
      <c r="G397" s="2"/>
      <c r="H397" s="2"/>
      <c r="I397" s="2"/>
      <c r="J397" s="2"/>
      <c r="K397" s="2"/>
      <c r="L397" s="2"/>
    </row>
    <row r="398" spans="1:12" x14ac:dyDescent="0.2">
      <c r="A398" s="2"/>
      <c r="B398" s="2"/>
      <c r="C398" s="2"/>
      <c r="D398" s="2"/>
      <c r="E398" s="2"/>
      <c r="F398" s="2"/>
      <c r="G398" s="2"/>
      <c r="H398" s="2"/>
      <c r="I398" s="2"/>
      <c r="J398" s="2"/>
      <c r="K398" s="2"/>
      <c r="L398" s="2"/>
    </row>
    <row r="399" spans="1:12" x14ac:dyDescent="0.2">
      <c r="A399" s="2"/>
      <c r="B399" s="2"/>
      <c r="C399" s="2"/>
      <c r="D399" s="2"/>
      <c r="E399" s="2"/>
      <c r="F399" s="2"/>
      <c r="G399" s="2"/>
      <c r="H399" s="2"/>
      <c r="I399" s="2"/>
      <c r="J399" s="2"/>
      <c r="K399" s="2"/>
      <c r="L399" s="2"/>
    </row>
    <row r="400" spans="1:12" x14ac:dyDescent="0.2">
      <c r="A400" s="2"/>
      <c r="B400" s="2"/>
      <c r="C400" s="2"/>
      <c r="D400" s="2"/>
      <c r="E400" s="2"/>
      <c r="F400" s="2"/>
      <c r="G400" s="2"/>
      <c r="H400" s="2"/>
      <c r="I400" s="2"/>
      <c r="J400" s="2"/>
      <c r="K400" s="2"/>
      <c r="L400" s="2"/>
    </row>
    <row r="401" spans="1:12" x14ac:dyDescent="0.2">
      <c r="A401" s="2"/>
      <c r="B401" s="2"/>
      <c r="C401" s="2"/>
      <c r="D401" s="2"/>
      <c r="E401" s="2"/>
      <c r="F401" s="2"/>
      <c r="G401" s="2"/>
      <c r="H401" s="2"/>
      <c r="I401" s="2"/>
      <c r="J401" s="2"/>
      <c r="K401" s="2"/>
      <c r="L401" s="2"/>
    </row>
    <row r="402" spans="1:12" x14ac:dyDescent="0.2">
      <c r="A402" s="2"/>
      <c r="B402" s="2"/>
      <c r="C402" s="2"/>
      <c r="D402" s="2"/>
      <c r="E402" s="2"/>
      <c r="F402" s="2"/>
      <c r="G402" s="2"/>
      <c r="H402" s="2"/>
      <c r="I402" s="2"/>
      <c r="J402" s="2"/>
      <c r="K402" s="2"/>
      <c r="L402" s="2"/>
    </row>
    <row r="403" spans="1:12" x14ac:dyDescent="0.2">
      <c r="A403" s="2"/>
      <c r="B403" s="2"/>
      <c r="C403" s="2"/>
      <c r="D403" s="2"/>
      <c r="E403" s="2"/>
      <c r="F403" s="2"/>
      <c r="G403" s="2"/>
      <c r="H403" s="2"/>
      <c r="I403" s="2"/>
      <c r="J403" s="2"/>
      <c r="K403" s="2"/>
      <c r="L403" s="2"/>
    </row>
    <row r="404" spans="1:12" x14ac:dyDescent="0.2">
      <c r="A404" s="2"/>
      <c r="B404" s="2"/>
      <c r="C404" s="2"/>
      <c r="D404" s="2"/>
      <c r="E404" s="2"/>
      <c r="F404" s="2"/>
      <c r="G404" s="2"/>
      <c r="H404" s="2"/>
      <c r="I404" s="2"/>
      <c r="J404" s="2"/>
      <c r="K404" s="2"/>
      <c r="L404" s="2"/>
    </row>
    <row r="405" spans="1:12" x14ac:dyDescent="0.2">
      <c r="A405" s="2"/>
      <c r="B405" s="2"/>
      <c r="C405" s="2"/>
      <c r="D405" s="2"/>
      <c r="E405" s="2"/>
      <c r="F405" s="2"/>
      <c r="G405" s="2"/>
      <c r="H405" s="2"/>
      <c r="I405" s="2"/>
      <c r="J405" s="2"/>
      <c r="K405" s="2"/>
      <c r="L405" s="2"/>
    </row>
    <row r="406" spans="1:12" x14ac:dyDescent="0.2">
      <c r="A406" s="2"/>
      <c r="B406" s="2"/>
      <c r="C406" s="2"/>
      <c r="D406" s="2"/>
      <c r="E406" s="2"/>
      <c r="F406" s="2"/>
      <c r="G406" s="2"/>
      <c r="H406" s="2"/>
      <c r="I406" s="2"/>
      <c r="J406" s="2"/>
      <c r="K406" s="2"/>
      <c r="L406" s="2"/>
    </row>
    <row r="407" spans="1:12" x14ac:dyDescent="0.2">
      <c r="A407" s="2"/>
      <c r="B407" s="2"/>
      <c r="C407" s="2"/>
      <c r="D407" s="2"/>
      <c r="E407" s="2"/>
      <c r="F407" s="2"/>
      <c r="G407" s="2"/>
      <c r="H407" s="2"/>
      <c r="I407" s="2"/>
      <c r="J407" s="2"/>
      <c r="K407" s="2"/>
      <c r="L407" s="2"/>
    </row>
    <row r="408" spans="1:12" x14ac:dyDescent="0.2">
      <c r="A408" s="2"/>
      <c r="B408" s="2"/>
      <c r="C408" s="2"/>
      <c r="D408" s="2"/>
      <c r="E408" s="2"/>
      <c r="F408" s="2"/>
      <c r="G408" s="2"/>
      <c r="H408" s="2"/>
      <c r="I408" s="2"/>
      <c r="J408" s="2"/>
      <c r="K408" s="2"/>
      <c r="L408" s="2"/>
    </row>
    <row r="409" spans="1:12" x14ac:dyDescent="0.2">
      <c r="A409" s="2"/>
      <c r="B409" s="2"/>
      <c r="C409" s="2"/>
      <c r="D409" s="2"/>
      <c r="E409" s="2"/>
      <c r="F409" s="2"/>
      <c r="G409" s="2"/>
      <c r="H409" s="2"/>
      <c r="I409" s="2"/>
      <c r="J409" s="2"/>
      <c r="K409" s="2"/>
      <c r="L409" s="2"/>
    </row>
    <row r="410" spans="1:12" x14ac:dyDescent="0.2">
      <c r="A410" s="2"/>
      <c r="B410" s="2"/>
      <c r="C410" s="2"/>
      <c r="D410" s="2"/>
      <c r="E410" s="2"/>
      <c r="F410" s="2"/>
      <c r="G410" s="2"/>
      <c r="H410" s="2"/>
      <c r="I410" s="2"/>
      <c r="J410" s="2"/>
      <c r="K410" s="2"/>
      <c r="L410" s="2"/>
    </row>
    <row r="411" spans="1:12" x14ac:dyDescent="0.2">
      <c r="A411" s="2"/>
      <c r="B411" s="2"/>
      <c r="C411" s="2"/>
      <c r="D411" s="2"/>
      <c r="E411" s="2"/>
      <c r="F411" s="2"/>
      <c r="G411" s="2"/>
      <c r="H411" s="2"/>
      <c r="I411" s="2"/>
      <c r="J411" s="2"/>
      <c r="K411" s="2"/>
      <c r="L411" s="2"/>
    </row>
    <row r="412" spans="1:12" x14ac:dyDescent="0.2">
      <c r="A412" s="2"/>
      <c r="B412" s="2"/>
      <c r="C412" s="2"/>
      <c r="D412" s="2"/>
      <c r="E412" s="2"/>
      <c r="F412" s="2"/>
      <c r="G412" s="2"/>
      <c r="H412" s="2"/>
      <c r="I412" s="2"/>
      <c r="J412" s="2"/>
      <c r="K412" s="2"/>
      <c r="L412" s="2"/>
    </row>
    <row r="413" spans="1:12" x14ac:dyDescent="0.2">
      <c r="A413" s="2"/>
      <c r="B413" s="2"/>
      <c r="C413" s="2"/>
      <c r="D413" s="2"/>
      <c r="E413" s="2"/>
      <c r="F413" s="2"/>
      <c r="G413" s="2"/>
      <c r="H413" s="2"/>
      <c r="I413" s="2"/>
      <c r="J413" s="2"/>
      <c r="K413" s="2"/>
      <c r="L413" s="2"/>
    </row>
    <row r="414" spans="1:12" x14ac:dyDescent="0.2">
      <c r="A414" s="2"/>
      <c r="B414" s="2"/>
      <c r="C414" s="2"/>
      <c r="D414" s="2"/>
      <c r="E414" s="2"/>
      <c r="F414" s="2"/>
      <c r="G414" s="2"/>
      <c r="H414" s="2"/>
      <c r="I414" s="2"/>
      <c r="J414" s="2"/>
      <c r="K414" s="2"/>
      <c r="L414" s="2"/>
    </row>
    <row r="415" spans="1:12" x14ac:dyDescent="0.2">
      <c r="A415" s="2"/>
      <c r="B415" s="2"/>
      <c r="C415" s="2"/>
      <c r="D415" s="2"/>
      <c r="E415" s="2"/>
      <c r="F415" s="2"/>
      <c r="G415" s="2"/>
      <c r="H415" s="2"/>
      <c r="I415" s="2"/>
      <c r="J415" s="2"/>
      <c r="K415" s="2"/>
      <c r="L415" s="2"/>
    </row>
    <row r="416" spans="1:12" x14ac:dyDescent="0.2">
      <c r="A416" s="2"/>
      <c r="B416" s="2"/>
      <c r="C416" s="2"/>
      <c r="D416" s="2"/>
      <c r="E416" s="2"/>
      <c r="F416" s="2"/>
      <c r="G416" s="2"/>
      <c r="H416" s="2"/>
      <c r="I416" s="2"/>
      <c r="J416" s="2"/>
      <c r="K416" s="2"/>
      <c r="L416" s="2"/>
    </row>
    <row r="417" spans="1:12" x14ac:dyDescent="0.2">
      <c r="A417" s="2"/>
      <c r="B417" s="2"/>
      <c r="C417" s="2"/>
      <c r="D417" s="2"/>
      <c r="E417" s="2"/>
      <c r="F417" s="2"/>
      <c r="G417" s="2"/>
      <c r="H417" s="2"/>
      <c r="I417" s="2"/>
      <c r="J417" s="2"/>
      <c r="K417" s="2"/>
      <c r="L417" s="2"/>
    </row>
    <row r="418" spans="1:12" x14ac:dyDescent="0.2">
      <c r="A418" s="2"/>
      <c r="B418" s="2"/>
      <c r="C418" s="2"/>
      <c r="D418" s="2"/>
      <c r="E418" s="2"/>
      <c r="F418" s="2"/>
      <c r="G418" s="2"/>
      <c r="H418" s="2"/>
      <c r="I418" s="2"/>
      <c r="J418" s="2"/>
      <c r="K418" s="2"/>
      <c r="L418" s="2"/>
    </row>
    <row r="419" spans="1:12" x14ac:dyDescent="0.2">
      <c r="A419" s="2"/>
      <c r="B419" s="2"/>
      <c r="C419" s="2"/>
      <c r="D419" s="2"/>
      <c r="E419" s="2"/>
      <c r="F419" s="2"/>
      <c r="G419" s="2"/>
      <c r="H419" s="2"/>
      <c r="I419" s="2"/>
      <c r="J419" s="2"/>
      <c r="K419" s="2"/>
      <c r="L419" s="2"/>
    </row>
    <row r="420" spans="1:12" x14ac:dyDescent="0.2">
      <c r="A420" s="2"/>
      <c r="B420" s="2"/>
      <c r="C420" s="2"/>
      <c r="D420" s="2"/>
      <c r="E420" s="2"/>
      <c r="F420" s="2"/>
      <c r="G420" s="2"/>
      <c r="H420" s="2"/>
      <c r="I420" s="2"/>
      <c r="J420" s="2"/>
      <c r="K420" s="2"/>
      <c r="L420" s="2"/>
    </row>
    <row r="421" spans="1:12" x14ac:dyDescent="0.2">
      <c r="A421" s="2"/>
      <c r="B421" s="2"/>
      <c r="C421" s="2"/>
      <c r="D421" s="2"/>
      <c r="E421" s="2"/>
      <c r="F421" s="2"/>
      <c r="G421" s="2"/>
      <c r="H421" s="2"/>
      <c r="I421" s="2"/>
      <c r="J421" s="2"/>
      <c r="K421" s="2"/>
      <c r="L421" s="2"/>
    </row>
    <row r="422" spans="1:12" x14ac:dyDescent="0.2">
      <c r="A422" s="2"/>
      <c r="B422" s="2"/>
      <c r="C422" s="2"/>
      <c r="D422" s="2"/>
      <c r="E422" s="2"/>
      <c r="F422" s="2"/>
      <c r="G422" s="2"/>
      <c r="H422" s="2"/>
      <c r="I422" s="2"/>
      <c r="J422" s="2"/>
      <c r="K422" s="2"/>
      <c r="L422" s="2"/>
    </row>
    <row r="423" spans="1:12" x14ac:dyDescent="0.2">
      <c r="A423" s="2"/>
      <c r="B423" s="2"/>
      <c r="C423" s="2"/>
      <c r="D423" s="2"/>
      <c r="E423" s="2"/>
      <c r="F423" s="2"/>
      <c r="G423" s="2"/>
      <c r="H423" s="2"/>
      <c r="I423" s="2"/>
      <c r="J423" s="2"/>
      <c r="K423" s="2"/>
      <c r="L423" s="2"/>
    </row>
    <row r="424" spans="1:12" x14ac:dyDescent="0.2">
      <c r="A424" s="2"/>
      <c r="B424" s="2"/>
      <c r="C424" s="2"/>
      <c r="D424" s="2"/>
      <c r="E424" s="2"/>
      <c r="F424" s="2"/>
      <c r="G424" s="2"/>
      <c r="H424" s="2"/>
      <c r="I424" s="2"/>
      <c r="J424" s="2"/>
      <c r="K424" s="2"/>
      <c r="L424" s="2"/>
    </row>
    <row r="425" spans="1:12" x14ac:dyDescent="0.2">
      <c r="A425" s="2"/>
      <c r="B425" s="2"/>
      <c r="C425" s="2"/>
      <c r="D425" s="2"/>
      <c r="E425" s="2"/>
      <c r="F425" s="2"/>
      <c r="G425" s="2"/>
      <c r="H425" s="2"/>
      <c r="I425" s="2"/>
      <c r="J425" s="2"/>
      <c r="K425" s="2"/>
      <c r="L425" s="2"/>
    </row>
    <row r="426" spans="1:12" x14ac:dyDescent="0.2">
      <c r="A426" s="2"/>
      <c r="B426" s="2"/>
      <c r="C426" s="2"/>
      <c r="D426" s="2"/>
      <c r="E426" s="2"/>
      <c r="F426" s="2"/>
      <c r="G426" s="2"/>
      <c r="H426" s="2"/>
      <c r="I426" s="2"/>
      <c r="J426" s="2"/>
      <c r="K426" s="2"/>
      <c r="L426" s="2"/>
    </row>
    <row r="427" spans="1:12" x14ac:dyDescent="0.2">
      <c r="A427" s="2"/>
      <c r="B427" s="2"/>
      <c r="C427" s="2"/>
      <c r="D427" s="2"/>
      <c r="E427" s="2"/>
      <c r="F427" s="2"/>
      <c r="G427" s="2"/>
      <c r="H427" s="2"/>
      <c r="I427" s="2"/>
      <c r="J427" s="2"/>
      <c r="K427" s="2"/>
      <c r="L427" s="2"/>
    </row>
    <row r="428" spans="1:12" x14ac:dyDescent="0.2">
      <c r="A428" s="2"/>
      <c r="B428" s="2"/>
      <c r="C428" s="2"/>
      <c r="D428" s="2"/>
      <c r="E428" s="2"/>
      <c r="F428" s="2"/>
      <c r="G428" s="2"/>
      <c r="H428" s="2"/>
      <c r="I428" s="2"/>
      <c r="J428" s="2"/>
      <c r="K428" s="2"/>
      <c r="L428" s="2"/>
    </row>
    <row r="429" spans="1:12" x14ac:dyDescent="0.2">
      <c r="A429" s="2"/>
      <c r="B429" s="2"/>
      <c r="C429" s="2"/>
      <c r="D429" s="2"/>
      <c r="E429" s="2"/>
      <c r="F429" s="2"/>
      <c r="G429" s="2"/>
      <c r="H429" s="2"/>
      <c r="I429" s="2"/>
      <c r="J429" s="2"/>
      <c r="K429" s="2"/>
      <c r="L429" s="2"/>
    </row>
    <row r="430" spans="1:12" x14ac:dyDescent="0.2">
      <c r="A430" s="2"/>
      <c r="B430" s="2"/>
      <c r="C430" s="2"/>
      <c r="D430" s="2"/>
      <c r="E430" s="2"/>
      <c r="F430" s="2"/>
      <c r="G430" s="2"/>
      <c r="H430" s="2"/>
      <c r="I430" s="2"/>
      <c r="J430" s="2"/>
      <c r="K430" s="2"/>
      <c r="L430" s="2"/>
    </row>
    <row r="431" spans="1:12" x14ac:dyDescent="0.2">
      <c r="A431" s="2"/>
      <c r="B431" s="2"/>
      <c r="C431" s="2"/>
      <c r="D431" s="2"/>
      <c r="E431" s="2"/>
      <c r="F431" s="2"/>
      <c r="G431" s="2"/>
      <c r="H431" s="2"/>
      <c r="I431" s="2"/>
      <c r="J431" s="2"/>
      <c r="K431" s="2"/>
      <c r="L431" s="2"/>
    </row>
    <row r="432" spans="1:12" x14ac:dyDescent="0.2">
      <c r="A432" s="2"/>
      <c r="B432" s="2"/>
      <c r="C432" s="2"/>
      <c r="D432" s="2"/>
      <c r="E432" s="2"/>
      <c r="F432" s="2"/>
      <c r="G432" s="2"/>
      <c r="H432" s="2"/>
      <c r="I432" s="2"/>
      <c r="J432" s="2"/>
      <c r="K432" s="2"/>
      <c r="L432" s="2"/>
    </row>
    <row r="433" spans="1:12" x14ac:dyDescent="0.2">
      <c r="A433" s="2"/>
      <c r="B433" s="2"/>
      <c r="C433" s="2"/>
      <c r="D433" s="2"/>
      <c r="E433" s="2"/>
      <c r="F433" s="2"/>
      <c r="G433" s="2"/>
      <c r="H433" s="2"/>
      <c r="I433" s="2"/>
      <c r="J433" s="2"/>
      <c r="K433" s="2"/>
      <c r="L433" s="2"/>
    </row>
    <row r="434" spans="1:12" x14ac:dyDescent="0.2">
      <c r="A434" s="2"/>
      <c r="B434" s="2"/>
      <c r="C434" s="2"/>
      <c r="D434" s="2"/>
      <c r="E434" s="2"/>
      <c r="F434" s="2"/>
      <c r="G434" s="2"/>
      <c r="H434" s="2"/>
      <c r="I434" s="2"/>
      <c r="J434" s="2"/>
      <c r="K434" s="2"/>
      <c r="L434" s="2"/>
    </row>
    <row r="435" spans="1:12" x14ac:dyDescent="0.2">
      <c r="A435" s="2"/>
      <c r="B435" s="2"/>
      <c r="C435" s="2"/>
      <c r="D435" s="2"/>
      <c r="E435" s="2"/>
      <c r="F435" s="2"/>
      <c r="G435" s="2"/>
      <c r="H435" s="2"/>
      <c r="I435" s="2"/>
      <c r="J435" s="2"/>
      <c r="K435" s="2"/>
      <c r="L435" s="2"/>
    </row>
    <row r="436" spans="1:12" x14ac:dyDescent="0.2">
      <c r="A436" s="2"/>
      <c r="B436" s="2"/>
      <c r="C436" s="2"/>
      <c r="D436" s="2"/>
      <c r="E436" s="2"/>
      <c r="F436" s="2"/>
      <c r="G436" s="2"/>
      <c r="H436" s="2"/>
      <c r="I436" s="2"/>
      <c r="J436" s="2"/>
      <c r="K436" s="2"/>
      <c r="L436" s="2"/>
    </row>
    <row r="437" spans="1:12" x14ac:dyDescent="0.2">
      <c r="A437" s="2"/>
      <c r="B437" s="2"/>
      <c r="C437" s="2"/>
      <c r="D437" s="2"/>
      <c r="E437" s="2"/>
      <c r="F437" s="2"/>
      <c r="G437" s="2"/>
      <c r="H437" s="2"/>
      <c r="I437" s="2"/>
      <c r="J437" s="2"/>
      <c r="K437" s="2"/>
      <c r="L437" s="2"/>
    </row>
    <row r="438" spans="1:12" x14ac:dyDescent="0.2">
      <c r="A438" s="2"/>
      <c r="B438" s="2"/>
      <c r="C438" s="2"/>
      <c r="D438" s="2"/>
      <c r="E438" s="2"/>
      <c r="F438" s="2"/>
      <c r="G438" s="2"/>
      <c r="H438" s="2"/>
      <c r="I438" s="2"/>
      <c r="J438" s="2"/>
      <c r="K438" s="2"/>
      <c r="L438" s="2"/>
    </row>
    <row r="439" spans="1:12" x14ac:dyDescent="0.2">
      <c r="A439" s="2"/>
      <c r="B439" s="2"/>
      <c r="C439" s="2"/>
      <c r="D439" s="2"/>
      <c r="E439" s="2"/>
      <c r="F439" s="2"/>
      <c r="G439" s="2"/>
      <c r="H439" s="2"/>
      <c r="I439" s="2"/>
      <c r="J439" s="2"/>
      <c r="K439" s="2"/>
      <c r="L439" s="2"/>
    </row>
    <row r="440" spans="1:12" x14ac:dyDescent="0.2">
      <c r="A440" s="2"/>
      <c r="B440" s="2"/>
      <c r="C440" s="2"/>
      <c r="D440" s="2"/>
      <c r="E440" s="2"/>
      <c r="F440" s="2"/>
      <c r="G440" s="2"/>
      <c r="H440" s="2"/>
      <c r="I440" s="2"/>
      <c r="J440" s="2"/>
      <c r="K440" s="2"/>
      <c r="L440" s="2"/>
    </row>
    <row r="441" spans="1:12" x14ac:dyDescent="0.2">
      <c r="A441" s="2"/>
      <c r="B441" s="2"/>
      <c r="C441" s="2"/>
      <c r="D441" s="2"/>
      <c r="E441" s="2"/>
      <c r="F441" s="2"/>
      <c r="G441" s="2"/>
      <c r="H441" s="2"/>
      <c r="I441" s="2"/>
      <c r="J441" s="2"/>
      <c r="K441" s="2"/>
      <c r="L441" s="2"/>
    </row>
    <row r="442" spans="1:12" x14ac:dyDescent="0.2">
      <c r="A442" s="2"/>
      <c r="B442" s="2"/>
      <c r="C442" s="2"/>
      <c r="D442" s="2"/>
      <c r="E442" s="2"/>
      <c r="F442" s="2"/>
      <c r="G442" s="2"/>
      <c r="H442" s="2"/>
      <c r="I442" s="2"/>
      <c r="J442" s="2"/>
      <c r="K442" s="2"/>
      <c r="L442" s="2"/>
    </row>
    <row r="443" spans="1:12" x14ac:dyDescent="0.2">
      <c r="A443" s="2"/>
      <c r="B443" s="2"/>
      <c r="C443" s="2"/>
      <c r="D443" s="2"/>
      <c r="E443" s="2"/>
      <c r="F443" s="2"/>
      <c r="G443" s="2"/>
      <c r="H443" s="2"/>
      <c r="I443" s="2"/>
      <c r="J443" s="2"/>
      <c r="K443" s="2"/>
      <c r="L443" s="2"/>
    </row>
    <row r="444" spans="1:12" x14ac:dyDescent="0.2">
      <c r="A444" s="2"/>
      <c r="B444" s="2"/>
      <c r="C444" s="2"/>
      <c r="D444" s="2"/>
      <c r="E444" s="2"/>
      <c r="F444" s="2"/>
      <c r="G444" s="2"/>
      <c r="H444" s="2"/>
      <c r="I444" s="2"/>
      <c r="J444" s="2"/>
      <c r="K444" s="2"/>
      <c r="L444" s="2"/>
    </row>
    <row r="445" spans="1:12" x14ac:dyDescent="0.2">
      <c r="A445" s="2"/>
      <c r="B445" s="2"/>
      <c r="C445" s="2"/>
      <c r="D445" s="2"/>
      <c r="E445" s="2"/>
      <c r="F445" s="2"/>
      <c r="G445" s="2"/>
      <c r="H445" s="2"/>
      <c r="I445" s="2"/>
      <c r="J445" s="2"/>
      <c r="K445" s="2"/>
      <c r="L445" s="2"/>
    </row>
    <row r="446" spans="1:12" x14ac:dyDescent="0.2">
      <c r="A446" s="2"/>
      <c r="B446" s="2"/>
      <c r="C446" s="2"/>
      <c r="D446" s="2"/>
      <c r="E446" s="2"/>
      <c r="F446" s="2"/>
      <c r="G446" s="2"/>
      <c r="H446" s="2"/>
      <c r="I446" s="2"/>
      <c r="J446" s="2"/>
      <c r="K446" s="2"/>
      <c r="L446" s="2"/>
    </row>
    <row r="447" spans="1:12" x14ac:dyDescent="0.2">
      <c r="A447" s="2"/>
      <c r="B447" s="2"/>
      <c r="C447" s="2"/>
      <c r="D447" s="2"/>
      <c r="E447" s="2"/>
      <c r="F447" s="2"/>
      <c r="G447" s="2"/>
      <c r="H447" s="2"/>
      <c r="I447" s="2"/>
      <c r="J447" s="2"/>
      <c r="K447" s="2"/>
      <c r="L447" s="2"/>
    </row>
    <row r="448" spans="1:12" x14ac:dyDescent="0.2">
      <c r="A448" s="2"/>
      <c r="B448" s="2"/>
      <c r="C448" s="2"/>
      <c r="D448" s="2"/>
      <c r="E448" s="2"/>
      <c r="F448" s="2"/>
      <c r="G448" s="2"/>
      <c r="H448" s="2"/>
      <c r="I448" s="2"/>
      <c r="J448" s="2"/>
      <c r="K448" s="2"/>
      <c r="L448" s="2"/>
    </row>
    <row r="449" spans="1:12" x14ac:dyDescent="0.2">
      <c r="A449" s="2"/>
      <c r="B449" s="2"/>
      <c r="C449" s="2"/>
      <c r="D449" s="2"/>
      <c r="E449" s="2"/>
      <c r="F449" s="2"/>
      <c r="G449" s="2"/>
      <c r="H449" s="2"/>
      <c r="I449" s="2"/>
      <c r="J449" s="2"/>
      <c r="K449" s="2"/>
      <c r="L449" s="2"/>
    </row>
    <row r="450" spans="1:12" x14ac:dyDescent="0.2">
      <c r="A450" s="2"/>
      <c r="B450" s="2"/>
      <c r="C450" s="2"/>
      <c r="D450" s="2"/>
      <c r="E450" s="2"/>
      <c r="F450" s="2"/>
      <c r="G450" s="2"/>
      <c r="H450" s="2"/>
      <c r="I450" s="2"/>
      <c r="J450" s="2"/>
      <c r="K450" s="2"/>
      <c r="L450" s="2"/>
    </row>
    <row r="451" spans="1:12" x14ac:dyDescent="0.2">
      <c r="A451" s="2"/>
      <c r="B451" s="2"/>
      <c r="C451" s="2"/>
      <c r="D451" s="2"/>
      <c r="E451" s="2"/>
      <c r="F451" s="2"/>
      <c r="G451" s="2"/>
      <c r="H451" s="2"/>
      <c r="I451" s="2"/>
      <c r="J451" s="2"/>
      <c r="K451" s="2"/>
      <c r="L451" s="2"/>
    </row>
    <row r="452" spans="1:12" x14ac:dyDescent="0.2">
      <c r="A452" s="2"/>
      <c r="B452" s="2"/>
      <c r="C452" s="2"/>
      <c r="D452" s="2"/>
      <c r="E452" s="2"/>
      <c r="F452" s="2"/>
      <c r="G452" s="2"/>
      <c r="H452" s="2"/>
      <c r="I452" s="2"/>
      <c r="J452" s="2"/>
      <c r="K452" s="2"/>
      <c r="L452" s="2"/>
    </row>
    <row r="453" spans="1:12" x14ac:dyDescent="0.2">
      <c r="A453" s="2"/>
      <c r="B453" s="2"/>
      <c r="C453" s="2"/>
      <c r="D453" s="2"/>
      <c r="E453" s="2"/>
      <c r="F453" s="2"/>
      <c r="G453" s="2"/>
      <c r="H453" s="2"/>
      <c r="I453" s="2"/>
      <c r="J453" s="2"/>
      <c r="K453" s="2"/>
      <c r="L453" s="2"/>
    </row>
    <row r="454" spans="1:12" x14ac:dyDescent="0.2">
      <c r="A454" s="2"/>
      <c r="B454" s="2"/>
      <c r="C454" s="2"/>
      <c r="D454" s="2"/>
      <c r="E454" s="2"/>
      <c r="F454" s="2"/>
      <c r="G454" s="2"/>
      <c r="H454" s="2"/>
      <c r="I454" s="2"/>
      <c r="J454" s="2"/>
      <c r="K454" s="2"/>
      <c r="L454" s="2"/>
    </row>
    <row r="455" spans="1:12" x14ac:dyDescent="0.2">
      <c r="A455" s="2"/>
      <c r="B455" s="2"/>
      <c r="C455" s="2"/>
      <c r="D455" s="2"/>
      <c r="E455" s="2"/>
      <c r="F455" s="2"/>
      <c r="G455" s="2"/>
      <c r="H455" s="2"/>
      <c r="I455" s="2"/>
      <c r="J455" s="2"/>
      <c r="K455" s="2"/>
      <c r="L455" s="2"/>
    </row>
    <row r="456" spans="1:12" x14ac:dyDescent="0.2">
      <c r="A456" s="2"/>
      <c r="B456" s="2"/>
      <c r="C456" s="2"/>
      <c r="D456" s="2"/>
      <c r="E456" s="2"/>
      <c r="F456" s="2"/>
      <c r="G456" s="2"/>
      <c r="H456" s="2"/>
      <c r="I456" s="2"/>
      <c r="J456" s="2"/>
      <c r="K456" s="2"/>
      <c r="L456" s="2"/>
    </row>
    <row r="457" spans="1:12" x14ac:dyDescent="0.2">
      <c r="A457" s="2"/>
      <c r="B457" s="2"/>
      <c r="C457" s="2"/>
      <c r="D457" s="2"/>
      <c r="E457" s="2"/>
      <c r="F457" s="2"/>
      <c r="G457" s="2"/>
      <c r="H457" s="2"/>
      <c r="I457" s="2"/>
      <c r="J457" s="2"/>
      <c r="K457" s="2"/>
      <c r="L457" s="2"/>
    </row>
    <row r="458" spans="1:12" x14ac:dyDescent="0.2">
      <c r="A458" s="2"/>
      <c r="B458" s="2"/>
      <c r="C458" s="2"/>
      <c r="D458" s="2"/>
      <c r="E458" s="2"/>
      <c r="F458" s="2"/>
      <c r="G458" s="2"/>
      <c r="H458" s="2"/>
      <c r="I458" s="2"/>
      <c r="J458" s="2"/>
      <c r="K458" s="2"/>
      <c r="L458" s="2"/>
    </row>
    <row r="459" spans="1:12" x14ac:dyDescent="0.2">
      <c r="A459" s="2"/>
      <c r="B459" s="2"/>
      <c r="C459" s="2"/>
      <c r="D459" s="2"/>
      <c r="E459" s="2"/>
      <c r="F459" s="2"/>
      <c r="G459" s="2"/>
      <c r="H459" s="2"/>
      <c r="I459" s="2"/>
      <c r="J459" s="2"/>
      <c r="K459" s="2"/>
      <c r="L459" s="2"/>
    </row>
    <row r="460" spans="1:12" x14ac:dyDescent="0.2">
      <c r="A460" s="2"/>
      <c r="B460" s="2"/>
      <c r="C460" s="2"/>
      <c r="D460" s="2"/>
      <c r="E460" s="2"/>
      <c r="F460" s="2"/>
      <c r="G460" s="2"/>
      <c r="H460" s="2"/>
      <c r="I460" s="2"/>
      <c r="J460" s="2"/>
      <c r="K460" s="2"/>
      <c r="L460" s="2"/>
    </row>
    <row r="461" spans="1:12" x14ac:dyDescent="0.2">
      <c r="A461" s="2"/>
      <c r="B461" s="2"/>
      <c r="C461" s="2"/>
      <c r="D461" s="2"/>
      <c r="E461" s="2"/>
      <c r="F461" s="2"/>
      <c r="G461" s="2"/>
      <c r="H461" s="2"/>
      <c r="I461" s="2"/>
      <c r="J461" s="2"/>
      <c r="K461" s="2"/>
      <c r="L461" s="2"/>
    </row>
    <row r="462" spans="1:12" x14ac:dyDescent="0.2">
      <c r="A462" s="2"/>
      <c r="B462" s="2"/>
      <c r="C462" s="2"/>
      <c r="D462" s="2"/>
      <c r="E462" s="2"/>
      <c r="F462" s="2"/>
      <c r="G462" s="2"/>
      <c r="H462" s="2"/>
      <c r="I462" s="2"/>
      <c r="J462" s="2"/>
      <c r="K462" s="2"/>
      <c r="L462" s="2"/>
    </row>
    <row r="463" spans="1:12" x14ac:dyDescent="0.2">
      <c r="A463" s="2"/>
      <c r="B463" s="2"/>
      <c r="C463" s="2"/>
      <c r="D463" s="2"/>
      <c r="E463" s="2"/>
      <c r="F463" s="2"/>
      <c r="G463" s="2"/>
      <c r="H463" s="2"/>
      <c r="I463" s="2"/>
      <c r="J463" s="2"/>
      <c r="K463" s="2"/>
      <c r="L463" s="2"/>
    </row>
    <row r="464" spans="1:12" x14ac:dyDescent="0.2">
      <c r="A464" s="2"/>
      <c r="B464" s="2"/>
      <c r="C464" s="2"/>
      <c r="D464" s="2"/>
      <c r="E464" s="2"/>
      <c r="F464" s="2"/>
      <c r="G464" s="2"/>
      <c r="H464" s="2"/>
      <c r="I464" s="2"/>
      <c r="J464" s="2"/>
      <c r="K464" s="2"/>
      <c r="L464" s="2"/>
    </row>
    <row r="465" spans="1:12" x14ac:dyDescent="0.2">
      <c r="A465" s="2"/>
      <c r="B465" s="2"/>
      <c r="C465" s="2"/>
      <c r="D465" s="2"/>
      <c r="E465" s="2"/>
      <c r="F465" s="2"/>
      <c r="G465" s="2"/>
      <c r="H465" s="2"/>
      <c r="I465" s="2"/>
      <c r="J465" s="2"/>
      <c r="K465" s="2"/>
      <c r="L465" s="2"/>
    </row>
    <row r="466" spans="1:12" x14ac:dyDescent="0.2">
      <c r="A466" s="2"/>
      <c r="B466" s="2"/>
      <c r="C466" s="2"/>
      <c r="D466" s="2"/>
      <c r="E466" s="2"/>
      <c r="F466" s="2"/>
      <c r="G466" s="2"/>
      <c r="H466" s="2"/>
      <c r="I466" s="2"/>
      <c r="J466" s="2"/>
      <c r="K466" s="2"/>
      <c r="L466" s="2"/>
    </row>
    <row r="467" spans="1:12" x14ac:dyDescent="0.2">
      <c r="A467" s="2"/>
      <c r="B467" s="2"/>
      <c r="C467" s="2"/>
      <c r="D467" s="2"/>
      <c r="E467" s="2"/>
      <c r="F467" s="2"/>
      <c r="G467" s="2"/>
      <c r="H467" s="2"/>
      <c r="I467" s="2"/>
      <c r="J467" s="2"/>
      <c r="K467" s="2"/>
      <c r="L467" s="2"/>
    </row>
    <row r="468" spans="1:12" x14ac:dyDescent="0.2">
      <c r="A468" s="2"/>
      <c r="B468" s="2"/>
      <c r="C468" s="2"/>
      <c r="D468" s="2"/>
      <c r="E468" s="2"/>
      <c r="F468" s="2"/>
      <c r="G468" s="2"/>
      <c r="H468" s="2"/>
      <c r="I468" s="2"/>
      <c r="J468" s="2"/>
      <c r="K468" s="2"/>
      <c r="L468" s="2"/>
    </row>
    <row r="469" spans="1:12" x14ac:dyDescent="0.2">
      <c r="A469" s="2"/>
      <c r="B469" s="2"/>
      <c r="C469" s="2"/>
      <c r="D469" s="2"/>
      <c r="E469" s="2"/>
      <c r="F469" s="2"/>
      <c r="G469" s="2"/>
      <c r="H469" s="2"/>
      <c r="I469" s="2"/>
      <c r="J469" s="2"/>
      <c r="K469" s="2"/>
      <c r="L469" s="2"/>
    </row>
    <row r="470" spans="1:12" x14ac:dyDescent="0.2">
      <c r="A470" s="2"/>
      <c r="B470" s="2"/>
      <c r="C470" s="2"/>
      <c r="D470" s="2"/>
      <c r="E470" s="2"/>
      <c r="F470" s="2"/>
      <c r="G470" s="2"/>
      <c r="H470" s="2"/>
      <c r="I470" s="2"/>
      <c r="J470" s="2"/>
      <c r="K470" s="2"/>
      <c r="L470" s="2"/>
    </row>
    <row r="471" spans="1:12" x14ac:dyDescent="0.2">
      <c r="A471" s="2"/>
      <c r="B471" s="2"/>
      <c r="C471" s="2"/>
      <c r="D471" s="2"/>
      <c r="E471" s="2"/>
      <c r="F471" s="2"/>
      <c r="G471" s="2"/>
      <c r="H471" s="2"/>
      <c r="I471" s="2"/>
      <c r="J471" s="2"/>
      <c r="K471" s="2"/>
      <c r="L471" s="2"/>
    </row>
    <row r="472" spans="1:12" x14ac:dyDescent="0.2">
      <c r="A472" s="2"/>
      <c r="B472" s="2"/>
      <c r="C472" s="2"/>
      <c r="D472" s="2"/>
      <c r="E472" s="2"/>
      <c r="F472" s="2"/>
      <c r="G472" s="2"/>
      <c r="H472" s="2"/>
      <c r="I472" s="2"/>
      <c r="J472" s="2"/>
      <c r="K472" s="2"/>
      <c r="L472" s="2"/>
    </row>
    <row r="473" spans="1:12" x14ac:dyDescent="0.2">
      <c r="A473" s="2"/>
      <c r="B473" s="2"/>
      <c r="C473" s="2"/>
      <c r="D473" s="2"/>
      <c r="E473" s="2"/>
      <c r="F473" s="2"/>
      <c r="G473" s="2"/>
      <c r="H473" s="2"/>
      <c r="I473" s="2"/>
      <c r="J473" s="2"/>
      <c r="K473" s="2"/>
      <c r="L473" s="2"/>
    </row>
    <row r="474" spans="1:12" x14ac:dyDescent="0.2">
      <c r="A474" s="2"/>
      <c r="B474" s="2"/>
      <c r="C474" s="2"/>
      <c r="D474" s="2"/>
      <c r="E474" s="2"/>
      <c r="F474" s="2"/>
      <c r="G474" s="2"/>
      <c r="H474" s="2"/>
      <c r="I474" s="2"/>
      <c r="J474" s="2"/>
      <c r="K474" s="2"/>
      <c r="L474" s="2"/>
    </row>
    <row r="475" spans="1:12" x14ac:dyDescent="0.2">
      <c r="A475" s="2"/>
      <c r="B475" s="2"/>
      <c r="C475" s="2"/>
      <c r="D475" s="2"/>
      <c r="E475" s="2"/>
      <c r="F475" s="2"/>
      <c r="G475" s="2"/>
      <c r="H475" s="2"/>
      <c r="I475" s="2"/>
      <c r="J475" s="2"/>
      <c r="K475" s="2"/>
      <c r="L475" s="2"/>
    </row>
    <row r="476" spans="1:12" x14ac:dyDescent="0.2">
      <c r="A476" s="2"/>
      <c r="B476" s="2"/>
      <c r="C476" s="2"/>
      <c r="D476" s="2"/>
      <c r="E476" s="2"/>
      <c r="F476" s="2"/>
      <c r="G476" s="2"/>
      <c r="H476" s="2"/>
      <c r="I476" s="2"/>
      <c r="J476" s="2"/>
      <c r="K476" s="2"/>
      <c r="L476" s="2"/>
    </row>
    <row r="477" spans="1:12" x14ac:dyDescent="0.2">
      <c r="A477" s="2"/>
      <c r="B477" s="2"/>
      <c r="C477" s="2"/>
      <c r="D477" s="2"/>
      <c r="E477" s="2"/>
      <c r="F477" s="2"/>
      <c r="G477" s="2"/>
      <c r="H477" s="2"/>
      <c r="I477" s="2"/>
      <c r="J477" s="2"/>
      <c r="K477" s="2"/>
      <c r="L477" s="2"/>
    </row>
    <row r="478" spans="1:12" x14ac:dyDescent="0.2">
      <c r="A478" s="2"/>
      <c r="B478" s="2"/>
      <c r="C478" s="2"/>
      <c r="D478" s="2"/>
      <c r="E478" s="2"/>
      <c r="F478" s="2"/>
      <c r="G478" s="2"/>
      <c r="H478" s="2"/>
      <c r="I478" s="2"/>
      <c r="J478" s="2"/>
      <c r="K478" s="2"/>
      <c r="L478" s="2"/>
    </row>
    <row r="479" spans="1:12" x14ac:dyDescent="0.2">
      <c r="A479" s="2"/>
      <c r="B479" s="2"/>
      <c r="C479" s="2"/>
      <c r="D479" s="2"/>
      <c r="E479" s="2"/>
      <c r="F479" s="2"/>
      <c r="G479" s="2"/>
      <c r="H479" s="2"/>
      <c r="I479" s="2"/>
      <c r="J479" s="2"/>
      <c r="K479" s="2"/>
      <c r="L479" s="2"/>
    </row>
    <row r="480" spans="1:12" x14ac:dyDescent="0.2">
      <c r="A480" s="2"/>
      <c r="B480" s="2"/>
      <c r="C480" s="2"/>
      <c r="D480" s="2"/>
      <c r="E480" s="2"/>
      <c r="F480" s="2"/>
      <c r="G480" s="2"/>
      <c r="H480" s="2"/>
      <c r="I480" s="2"/>
      <c r="J480" s="2"/>
      <c r="K480" s="2"/>
      <c r="L480" s="2"/>
    </row>
    <row r="481" spans="1:12" x14ac:dyDescent="0.2">
      <c r="A481" s="2"/>
      <c r="B481" s="2"/>
      <c r="C481" s="2"/>
      <c r="D481" s="2"/>
      <c r="E481" s="2"/>
      <c r="F481" s="2"/>
      <c r="G481" s="2"/>
      <c r="H481" s="2"/>
      <c r="I481" s="2"/>
      <c r="J481" s="2"/>
      <c r="K481" s="2"/>
      <c r="L481" s="2"/>
    </row>
    <row r="482" spans="1:12" x14ac:dyDescent="0.2">
      <c r="A482" s="2"/>
      <c r="B482" s="2"/>
      <c r="C482" s="2"/>
      <c r="D482" s="2"/>
      <c r="E482" s="2"/>
      <c r="F482" s="2"/>
      <c r="G482" s="2"/>
      <c r="H482" s="2"/>
      <c r="I482" s="2"/>
      <c r="J482" s="2"/>
      <c r="K482" s="2"/>
      <c r="L482" s="2"/>
    </row>
    <row r="483" spans="1:12" x14ac:dyDescent="0.2">
      <c r="A483" s="2"/>
      <c r="B483" s="2"/>
      <c r="C483" s="2"/>
      <c r="D483" s="2"/>
      <c r="E483" s="2"/>
      <c r="F483" s="2"/>
      <c r="G483" s="2"/>
      <c r="H483" s="2"/>
      <c r="I483" s="2"/>
      <c r="J483" s="2"/>
      <c r="K483" s="2"/>
      <c r="L483" s="2"/>
    </row>
    <row r="484" spans="1:12" x14ac:dyDescent="0.2">
      <c r="A484" s="2"/>
      <c r="B484" s="2"/>
      <c r="C484" s="2"/>
      <c r="D484" s="2"/>
      <c r="E484" s="2"/>
      <c r="F484" s="2"/>
      <c r="G484" s="2"/>
      <c r="H484" s="2"/>
      <c r="I484" s="2"/>
      <c r="J484" s="2"/>
      <c r="K484" s="2"/>
      <c r="L484" s="2"/>
    </row>
    <row r="485" spans="1:12" x14ac:dyDescent="0.2">
      <c r="A485" s="2"/>
      <c r="B485" s="2"/>
      <c r="C485" s="2"/>
      <c r="D485" s="2"/>
      <c r="E485" s="2"/>
      <c r="F485" s="2"/>
      <c r="G485" s="2"/>
      <c r="H485" s="2"/>
      <c r="I485" s="2"/>
      <c r="J485" s="2"/>
      <c r="K485" s="2"/>
      <c r="L485" s="2"/>
    </row>
    <row r="486" spans="1:12" x14ac:dyDescent="0.2">
      <c r="A486" s="2"/>
      <c r="B486" s="2"/>
      <c r="C486" s="2"/>
      <c r="D486" s="2"/>
      <c r="E486" s="2"/>
      <c r="F486" s="2"/>
      <c r="G486" s="2"/>
      <c r="H486" s="2"/>
      <c r="I486" s="2"/>
      <c r="J486" s="2"/>
      <c r="K486" s="2"/>
      <c r="L486" s="2"/>
    </row>
    <row r="487" spans="1:12" x14ac:dyDescent="0.2">
      <c r="A487" s="2"/>
      <c r="B487" s="2"/>
      <c r="C487" s="2"/>
      <c r="D487" s="2"/>
      <c r="E487" s="2"/>
      <c r="F487" s="2"/>
      <c r="G487" s="2"/>
      <c r="H487" s="2"/>
      <c r="I487" s="2"/>
      <c r="J487" s="2"/>
      <c r="K487" s="2"/>
      <c r="L487" s="2"/>
    </row>
    <row r="488" spans="1:12" x14ac:dyDescent="0.2">
      <c r="A488" s="2"/>
      <c r="B488" s="2"/>
      <c r="C488" s="2"/>
      <c r="D488" s="2"/>
      <c r="E488" s="2"/>
      <c r="F488" s="2"/>
      <c r="G488" s="2"/>
      <c r="H488" s="2"/>
      <c r="I488" s="2"/>
      <c r="J488" s="2"/>
      <c r="K488" s="2"/>
      <c r="L488" s="2"/>
    </row>
    <row r="489" spans="1:12" x14ac:dyDescent="0.2">
      <c r="A489" s="2"/>
      <c r="B489" s="2"/>
      <c r="C489" s="2"/>
      <c r="D489" s="2"/>
      <c r="E489" s="2"/>
      <c r="F489" s="2"/>
      <c r="G489" s="2"/>
      <c r="H489" s="2"/>
      <c r="I489" s="2"/>
      <c r="J489" s="2"/>
      <c r="K489" s="2"/>
      <c r="L489" s="2"/>
    </row>
    <row r="490" spans="1:12" x14ac:dyDescent="0.2">
      <c r="A490" s="2"/>
      <c r="B490" s="2"/>
      <c r="C490" s="2"/>
      <c r="D490" s="2"/>
      <c r="E490" s="2"/>
      <c r="F490" s="2"/>
      <c r="G490" s="2"/>
      <c r="H490" s="2"/>
      <c r="I490" s="2"/>
      <c r="J490" s="2"/>
      <c r="K490" s="2"/>
      <c r="L490" s="2"/>
    </row>
    <row r="491" spans="1:12" x14ac:dyDescent="0.2">
      <c r="A491" s="2"/>
      <c r="B491" s="2"/>
      <c r="C491" s="2"/>
      <c r="D491" s="2"/>
      <c r="E491" s="2"/>
      <c r="F491" s="2"/>
      <c r="G491" s="2"/>
      <c r="H491" s="2"/>
      <c r="I491" s="2"/>
      <c r="J491" s="2"/>
      <c r="K491" s="2"/>
      <c r="L491" s="2"/>
    </row>
    <row r="492" spans="1:12" x14ac:dyDescent="0.2">
      <c r="A492" s="2"/>
      <c r="B492" s="2"/>
      <c r="C492" s="2"/>
      <c r="D492" s="2"/>
      <c r="E492" s="2"/>
      <c r="F492" s="2"/>
      <c r="G492" s="2"/>
      <c r="H492" s="2"/>
      <c r="I492" s="2"/>
      <c r="J492" s="2"/>
      <c r="K492" s="2"/>
      <c r="L492" s="2"/>
    </row>
    <row r="493" spans="1:12" x14ac:dyDescent="0.2">
      <c r="A493" s="2"/>
      <c r="B493" s="2"/>
      <c r="C493" s="2"/>
      <c r="D493" s="2"/>
      <c r="E493" s="2"/>
      <c r="F493" s="2"/>
      <c r="G493" s="2"/>
      <c r="H493" s="2"/>
      <c r="I493" s="2"/>
      <c r="J493" s="2"/>
      <c r="K493" s="2"/>
      <c r="L493" s="2"/>
    </row>
    <row r="494" spans="1:12" x14ac:dyDescent="0.2">
      <c r="A494" s="2"/>
      <c r="B494" s="2"/>
      <c r="C494" s="2"/>
      <c r="D494" s="2"/>
      <c r="E494" s="2"/>
      <c r="F494" s="2"/>
      <c r="G494" s="2"/>
      <c r="H494" s="2"/>
      <c r="I494" s="2"/>
      <c r="J494" s="2"/>
      <c r="K494" s="2"/>
      <c r="L494" s="2"/>
    </row>
    <row r="495" spans="1:12" x14ac:dyDescent="0.2">
      <c r="A495" s="2"/>
      <c r="B495" s="2"/>
      <c r="C495" s="2"/>
      <c r="D495" s="2"/>
      <c r="E495" s="2"/>
      <c r="F495" s="2"/>
      <c r="G495" s="2"/>
      <c r="H495" s="2"/>
      <c r="I495" s="2"/>
      <c r="J495" s="2"/>
      <c r="K495" s="2"/>
      <c r="L495" s="2"/>
    </row>
    <row r="496" spans="1:12" x14ac:dyDescent="0.2">
      <c r="A496" s="2"/>
      <c r="B496" s="2"/>
      <c r="C496" s="2"/>
      <c r="D496" s="2"/>
      <c r="E496" s="2"/>
      <c r="F496" s="2"/>
      <c r="G496" s="2"/>
      <c r="H496" s="2"/>
      <c r="I496" s="2"/>
      <c r="J496" s="2"/>
      <c r="K496" s="2"/>
      <c r="L496" s="2"/>
    </row>
    <row r="497" spans="1:12" x14ac:dyDescent="0.2">
      <c r="A497" s="2"/>
      <c r="B497" s="2"/>
      <c r="C497" s="2"/>
      <c r="D497" s="2"/>
      <c r="E497" s="2"/>
      <c r="F497" s="2"/>
      <c r="G497" s="2"/>
      <c r="H497" s="2"/>
      <c r="I497" s="2"/>
      <c r="J497" s="2"/>
      <c r="K497" s="2"/>
      <c r="L497" s="2"/>
    </row>
    <row r="498" spans="1:12" x14ac:dyDescent="0.2">
      <c r="A498" s="2"/>
      <c r="B498" s="2"/>
      <c r="C498" s="2"/>
      <c r="D498" s="2"/>
      <c r="E498" s="2"/>
      <c r="F498" s="2"/>
      <c r="G498" s="2"/>
      <c r="H498" s="2"/>
      <c r="I498" s="2"/>
      <c r="J498" s="2"/>
      <c r="K498" s="2"/>
      <c r="L498" s="2"/>
    </row>
    <row r="499" spans="1:12" x14ac:dyDescent="0.2">
      <c r="A499" s="2"/>
      <c r="B499" s="2"/>
      <c r="C499" s="2"/>
      <c r="D499" s="2"/>
      <c r="E499" s="2"/>
      <c r="F499" s="2"/>
      <c r="G499" s="2"/>
      <c r="H499" s="2"/>
      <c r="I499" s="2"/>
      <c r="J499" s="2"/>
      <c r="K499" s="2"/>
      <c r="L499" s="2"/>
    </row>
    <row r="500" spans="1:12" x14ac:dyDescent="0.2">
      <c r="A500" s="2"/>
      <c r="B500" s="2"/>
      <c r="C500" s="2"/>
      <c r="D500" s="2"/>
      <c r="E500" s="2"/>
      <c r="F500" s="2"/>
      <c r="G500" s="2"/>
      <c r="H500" s="2"/>
      <c r="I500" s="2"/>
      <c r="J500" s="2"/>
      <c r="K500" s="2"/>
      <c r="L500" s="2"/>
    </row>
    <row r="501" spans="1:12" x14ac:dyDescent="0.2">
      <c r="A501" s="2"/>
      <c r="B501" s="2"/>
      <c r="C501" s="2"/>
      <c r="D501" s="2"/>
      <c r="E501" s="2"/>
      <c r="F501" s="2"/>
      <c r="G501" s="2"/>
      <c r="H501" s="2"/>
      <c r="I501" s="2"/>
      <c r="J501" s="2"/>
      <c r="K501" s="2"/>
      <c r="L501" s="2"/>
    </row>
    <row r="502" spans="1:12" x14ac:dyDescent="0.2">
      <c r="A502" s="2"/>
      <c r="B502" s="2"/>
      <c r="C502" s="2"/>
      <c r="D502" s="2"/>
      <c r="E502" s="2"/>
      <c r="F502" s="2"/>
      <c r="G502" s="2"/>
      <c r="H502" s="2"/>
      <c r="I502" s="2"/>
      <c r="J502" s="2"/>
      <c r="K502" s="2"/>
      <c r="L502" s="2"/>
    </row>
    <row r="503" spans="1:12" x14ac:dyDescent="0.2">
      <c r="A503" s="2"/>
      <c r="B503" s="2"/>
      <c r="C503" s="2"/>
      <c r="D503" s="2"/>
      <c r="E503" s="2"/>
      <c r="F503" s="2"/>
      <c r="G503" s="2"/>
      <c r="H503" s="2"/>
      <c r="I503" s="2"/>
      <c r="J503" s="2"/>
      <c r="K503" s="2"/>
      <c r="L503" s="2"/>
    </row>
    <row r="504" spans="1:12" x14ac:dyDescent="0.2">
      <c r="A504" s="2"/>
      <c r="B504" s="2"/>
      <c r="C504" s="2"/>
      <c r="D504" s="2"/>
      <c r="E504" s="2"/>
      <c r="F504" s="2"/>
      <c r="G504" s="2"/>
      <c r="H504" s="2"/>
      <c r="I504" s="2"/>
      <c r="J504" s="2"/>
      <c r="K504" s="2"/>
      <c r="L504" s="2"/>
    </row>
    <row r="505" spans="1:12" x14ac:dyDescent="0.2">
      <c r="A505" s="2"/>
      <c r="B505" s="2"/>
      <c r="C505" s="2"/>
      <c r="D505" s="2"/>
      <c r="E505" s="2"/>
      <c r="F505" s="2"/>
      <c r="G505" s="2"/>
      <c r="H505" s="2"/>
      <c r="I505" s="2"/>
      <c r="J505" s="2"/>
      <c r="K505" s="2"/>
      <c r="L505" s="2"/>
    </row>
    <row r="506" spans="1:12" x14ac:dyDescent="0.2">
      <c r="A506" s="2"/>
      <c r="B506" s="2"/>
      <c r="C506" s="2"/>
      <c r="D506" s="2"/>
      <c r="E506" s="2"/>
      <c r="F506" s="2"/>
      <c r="G506" s="2"/>
      <c r="H506" s="2"/>
      <c r="I506" s="2"/>
      <c r="J506" s="2"/>
      <c r="K506" s="2"/>
      <c r="L506" s="2"/>
    </row>
    <row r="507" spans="1:12" x14ac:dyDescent="0.2">
      <c r="A507" s="2"/>
      <c r="B507" s="2"/>
      <c r="C507" s="2"/>
      <c r="D507" s="2"/>
      <c r="E507" s="2"/>
      <c r="F507" s="2"/>
      <c r="G507" s="2"/>
      <c r="H507" s="2"/>
      <c r="I507" s="2"/>
      <c r="J507" s="2"/>
      <c r="K507" s="2"/>
      <c r="L507" s="2"/>
    </row>
    <row r="508" spans="1:12" x14ac:dyDescent="0.2">
      <c r="A508" s="2"/>
      <c r="B508" s="2"/>
      <c r="C508" s="2"/>
      <c r="D508" s="2"/>
      <c r="E508" s="2"/>
      <c r="F508" s="2"/>
      <c r="G508" s="2"/>
      <c r="H508" s="2"/>
      <c r="I508" s="2"/>
      <c r="J508" s="2"/>
      <c r="K508" s="2"/>
      <c r="L508" s="2"/>
    </row>
    <row r="509" spans="1:12" x14ac:dyDescent="0.2">
      <c r="A509" s="2"/>
      <c r="B509" s="2"/>
      <c r="C509" s="2"/>
      <c r="D509" s="2"/>
      <c r="E509" s="2"/>
      <c r="F509" s="2"/>
      <c r="G509" s="2"/>
      <c r="H509" s="2"/>
      <c r="I509" s="2"/>
      <c r="J509" s="2"/>
      <c r="K509" s="2"/>
      <c r="L509" s="2"/>
    </row>
    <row r="510" spans="1:12" x14ac:dyDescent="0.2">
      <c r="A510" s="2"/>
      <c r="B510" s="2"/>
      <c r="C510" s="2"/>
      <c r="D510" s="2"/>
      <c r="E510" s="2"/>
      <c r="F510" s="2"/>
      <c r="G510" s="2"/>
      <c r="H510" s="2"/>
      <c r="I510" s="2"/>
      <c r="J510" s="2"/>
      <c r="K510" s="2"/>
      <c r="L510" s="2"/>
    </row>
    <row r="511" spans="1:12" x14ac:dyDescent="0.2">
      <c r="A511" s="2"/>
      <c r="B511" s="2"/>
      <c r="C511" s="2"/>
      <c r="D511" s="2"/>
      <c r="E511" s="2"/>
      <c r="F511" s="2"/>
      <c r="G511" s="2"/>
      <c r="H511" s="2"/>
      <c r="I511" s="2"/>
      <c r="J511" s="2"/>
      <c r="K511" s="2"/>
      <c r="L511" s="2"/>
    </row>
    <row r="512" spans="1:12" x14ac:dyDescent="0.2">
      <c r="A512" s="2"/>
      <c r="B512" s="2"/>
      <c r="C512" s="2"/>
      <c r="D512" s="2"/>
      <c r="E512" s="2"/>
      <c r="F512" s="2"/>
      <c r="G512" s="2"/>
      <c r="H512" s="2"/>
      <c r="I512" s="2"/>
      <c r="J512" s="2"/>
      <c r="K512" s="2"/>
      <c r="L512" s="2"/>
    </row>
    <row r="513" spans="1:12" x14ac:dyDescent="0.2">
      <c r="A513" s="2"/>
      <c r="B513" s="2"/>
      <c r="C513" s="2"/>
      <c r="D513" s="2"/>
      <c r="E513" s="2"/>
      <c r="F513" s="2"/>
      <c r="G513" s="2"/>
      <c r="H513" s="2"/>
      <c r="I513" s="2"/>
      <c r="J513" s="2"/>
      <c r="K513" s="2"/>
      <c r="L513" s="2"/>
    </row>
    <row r="514" spans="1:12" x14ac:dyDescent="0.2">
      <c r="A514" s="2"/>
      <c r="B514" s="2"/>
      <c r="C514" s="2"/>
      <c r="D514" s="2"/>
      <c r="E514" s="2"/>
      <c r="F514" s="2"/>
      <c r="G514" s="2"/>
      <c r="H514" s="2"/>
      <c r="I514" s="2"/>
      <c r="J514" s="2"/>
      <c r="K514" s="2"/>
      <c r="L514" s="2"/>
    </row>
    <row r="515" spans="1:12" x14ac:dyDescent="0.2">
      <c r="A515" s="2"/>
      <c r="B515" s="2"/>
      <c r="C515" s="2"/>
      <c r="D515" s="2"/>
      <c r="E515" s="2"/>
      <c r="F515" s="2"/>
      <c r="G515" s="2"/>
      <c r="H515" s="2"/>
      <c r="I515" s="2"/>
      <c r="J515" s="2"/>
      <c r="K515" s="2"/>
      <c r="L515" s="2"/>
    </row>
    <row r="516" spans="1:12" x14ac:dyDescent="0.2">
      <c r="A516" s="2"/>
      <c r="B516" s="2"/>
      <c r="C516" s="2"/>
      <c r="D516" s="2"/>
      <c r="E516" s="2"/>
      <c r="F516" s="2"/>
      <c r="G516" s="2"/>
      <c r="H516" s="2"/>
      <c r="I516" s="2"/>
      <c r="J516" s="2"/>
      <c r="K516" s="2"/>
      <c r="L516" s="2"/>
    </row>
    <row r="517" spans="1:12" x14ac:dyDescent="0.2">
      <c r="A517" s="2"/>
      <c r="B517" s="2"/>
      <c r="C517" s="2"/>
      <c r="D517" s="2"/>
      <c r="E517" s="2"/>
      <c r="F517" s="2"/>
      <c r="G517" s="2"/>
      <c r="H517" s="2"/>
      <c r="I517" s="2"/>
      <c r="J517" s="2"/>
      <c r="K517" s="2"/>
      <c r="L517" s="2"/>
    </row>
    <row r="518" spans="1:12" x14ac:dyDescent="0.2">
      <c r="A518" s="2"/>
      <c r="B518" s="2"/>
      <c r="C518" s="2"/>
      <c r="D518" s="2"/>
      <c r="E518" s="2"/>
      <c r="F518" s="2"/>
      <c r="G518" s="2"/>
      <c r="H518" s="2"/>
      <c r="I518" s="2"/>
      <c r="J518" s="2"/>
      <c r="K518" s="2"/>
      <c r="L518" s="2"/>
    </row>
    <row r="519" spans="1:12" x14ac:dyDescent="0.2">
      <c r="A519" s="2"/>
      <c r="B519" s="2"/>
      <c r="C519" s="2"/>
      <c r="D519" s="2"/>
      <c r="E519" s="2"/>
      <c r="F519" s="2"/>
      <c r="G519" s="2"/>
      <c r="H519" s="2"/>
      <c r="I519" s="2"/>
      <c r="J519" s="2"/>
      <c r="K519" s="2"/>
      <c r="L519" s="2"/>
    </row>
    <row r="520" spans="1:12" x14ac:dyDescent="0.2">
      <c r="A520" s="2"/>
      <c r="B520" s="2"/>
      <c r="C520" s="2"/>
      <c r="D520" s="2"/>
      <c r="E520" s="2"/>
      <c r="F520" s="2"/>
      <c r="G520" s="2"/>
      <c r="H520" s="2"/>
      <c r="I520" s="2"/>
      <c r="J520" s="2"/>
      <c r="K520" s="2"/>
      <c r="L520" s="2"/>
    </row>
    <row r="521" spans="1:12" x14ac:dyDescent="0.2">
      <c r="A521" s="2"/>
      <c r="B521" s="2"/>
      <c r="C521" s="2"/>
      <c r="D521" s="2"/>
      <c r="E521" s="2"/>
      <c r="F521" s="2"/>
      <c r="G521" s="2"/>
      <c r="H521" s="2"/>
      <c r="I521" s="2"/>
      <c r="J521" s="2"/>
      <c r="K521" s="2"/>
      <c r="L521" s="2"/>
    </row>
    <row r="522" spans="1:12" x14ac:dyDescent="0.2">
      <c r="A522" s="2"/>
      <c r="B522" s="2"/>
      <c r="C522" s="2"/>
      <c r="D522" s="2"/>
      <c r="E522" s="2"/>
      <c r="F522" s="2"/>
      <c r="G522" s="2"/>
      <c r="H522" s="2"/>
      <c r="I522" s="2"/>
      <c r="J522" s="2"/>
      <c r="K522" s="2"/>
      <c r="L522" s="2"/>
    </row>
    <row r="523" spans="1:12" x14ac:dyDescent="0.2">
      <c r="A523" s="2"/>
      <c r="B523" s="2"/>
      <c r="C523" s="2"/>
      <c r="D523" s="2"/>
      <c r="E523" s="2"/>
      <c r="F523" s="2"/>
      <c r="G523" s="2"/>
      <c r="H523" s="2"/>
      <c r="I523" s="2"/>
      <c r="J523" s="2"/>
      <c r="K523" s="2"/>
      <c r="L523" s="2"/>
    </row>
    <row r="524" spans="1:12" x14ac:dyDescent="0.2">
      <c r="A524" s="2"/>
      <c r="B524" s="2"/>
      <c r="C524" s="2"/>
      <c r="D524" s="2"/>
      <c r="E524" s="2"/>
      <c r="F524" s="2"/>
      <c r="G524" s="2"/>
      <c r="H524" s="2"/>
      <c r="I524" s="2"/>
      <c r="J524" s="2"/>
      <c r="K524" s="2"/>
      <c r="L524" s="2"/>
    </row>
    <row r="525" spans="1:12" x14ac:dyDescent="0.2">
      <c r="A525" s="2"/>
      <c r="B525" s="2"/>
      <c r="C525" s="2"/>
      <c r="D525" s="2"/>
      <c r="E525" s="2"/>
      <c r="F525" s="2"/>
      <c r="G525" s="2"/>
      <c r="H525" s="2"/>
      <c r="I525" s="2"/>
      <c r="J525" s="2"/>
      <c r="K525" s="2"/>
      <c r="L525" s="2"/>
    </row>
    <row r="526" spans="1:12" x14ac:dyDescent="0.2">
      <c r="A526" s="2"/>
      <c r="B526" s="2"/>
      <c r="C526" s="2"/>
      <c r="D526" s="2"/>
      <c r="E526" s="2"/>
      <c r="F526" s="2"/>
      <c r="G526" s="2"/>
      <c r="H526" s="2"/>
      <c r="I526" s="2"/>
      <c r="J526" s="2"/>
      <c r="K526" s="2"/>
      <c r="L526" s="2"/>
    </row>
    <row r="527" spans="1:12" x14ac:dyDescent="0.2">
      <c r="A527" s="2"/>
      <c r="B527" s="2"/>
      <c r="C527" s="2"/>
      <c r="D527" s="2"/>
      <c r="E527" s="2"/>
      <c r="F527" s="2"/>
      <c r="G527" s="2"/>
      <c r="H527" s="2"/>
      <c r="I527" s="2"/>
      <c r="J527" s="2"/>
      <c r="K527" s="2"/>
      <c r="L527" s="2"/>
    </row>
    <row r="528" spans="1:12" x14ac:dyDescent="0.2">
      <c r="A528" s="2"/>
      <c r="B528" s="2"/>
      <c r="C528" s="2"/>
      <c r="D528" s="2"/>
      <c r="E528" s="2"/>
      <c r="F528" s="2"/>
      <c r="G528" s="2"/>
      <c r="H528" s="2"/>
      <c r="I528" s="2"/>
      <c r="J528" s="2"/>
      <c r="K528" s="2"/>
      <c r="L528" s="2"/>
    </row>
    <row r="529" spans="1:12" x14ac:dyDescent="0.2">
      <c r="A529" s="2"/>
      <c r="B529" s="2"/>
      <c r="C529" s="2"/>
      <c r="D529" s="2"/>
      <c r="E529" s="2"/>
      <c r="F529" s="2"/>
      <c r="G529" s="2"/>
      <c r="H529" s="2"/>
      <c r="I529" s="2"/>
      <c r="J529" s="2"/>
      <c r="K529" s="2"/>
      <c r="L529" s="2"/>
    </row>
    <row r="530" spans="1:12" x14ac:dyDescent="0.2">
      <c r="A530" s="2"/>
      <c r="B530" s="2"/>
      <c r="C530" s="2"/>
      <c r="D530" s="2"/>
      <c r="E530" s="2"/>
      <c r="F530" s="2"/>
      <c r="G530" s="2"/>
      <c r="H530" s="2"/>
      <c r="I530" s="2"/>
      <c r="J530" s="2"/>
      <c r="K530" s="2"/>
      <c r="L530" s="2"/>
    </row>
    <row r="531" spans="1:12" x14ac:dyDescent="0.2">
      <c r="A531" s="2"/>
      <c r="B531" s="2"/>
      <c r="C531" s="2"/>
      <c r="D531" s="2"/>
      <c r="E531" s="2"/>
      <c r="F531" s="2"/>
      <c r="G531" s="2"/>
      <c r="H531" s="2"/>
      <c r="I531" s="2"/>
      <c r="J531" s="2"/>
      <c r="K531" s="2"/>
      <c r="L531" s="2"/>
    </row>
    <row r="532" spans="1:12" x14ac:dyDescent="0.2">
      <c r="A532" s="2"/>
      <c r="B532" s="2"/>
      <c r="C532" s="2"/>
      <c r="D532" s="2"/>
      <c r="E532" s="2"/>
      <c r="F532" s="2"/>
      <c r="G532" s="2"/>
      <c r="H532" s="2"/>
      <c r="I532" s="2"/>
      <c r="J532" s="2"/>
      <c r="K532" s="2"/>
      <c r="L532" s="2"/>
    </row>
    <row r="533" spans="1:12" x14ac:dyDescent="0.2">
      <c r="A533" s="2"/>
      <c r="B533" s="2"/>
      <c r="C533" s="2"/>
      <c r="D533" s="2"/>
      <c r="E533" s="2"/>
      <c r="F533" s="2"/>
      <c r="G533" s="2"/>
      <c r="H533" s="2"/>
      <c r="I533" s="2"/>
      <c r="J533" s="2"/>
      <c r="K533" s="2"/>
      <c r="L533" s="2"/>
    </row>
    <row r="534" spans="1:12" x14ac:dyDescent="0.2">
      <c r="A534" s="2"/>
      <c r="B534" s="2"/>
      <c r="C534" s="2"/>
      <c r="D534" s="2"/>
      <c r="E534" s="2"/>
      <c r="F534" s="2"/>
      <c r="G534" s="2"/>
      <c r="H534" s="2"/>
      <c r="I534" s="2"/>
      <c r="J534" s="2"/>
      <c r="K534" s="2"/>
      <c r="L534" s="2"/>
    </row>
    <row r="535" spans="1:12" x14ac:dyDescent="0.2">
      <c r="A535" s="2"/>
      <c r="B535" s="2"/>
      <c r="C535" s="2"/>
      <c r="D535" s="2"/>
      <c r="E535" s="2"/>
      <c r="F535" s="2"/>
      <c r="G535" s="2"/>
      <c r="H535" s="2"/>
      <c r="I535" s="2"/>
      <c r="J535" s="2"/>
      <c r="K535" s="2"/>
      <c r="L535" s="2"/>
    </row>
    <row r="536" spans="1:12" x14ac:dyDescent="0.2">
      <c r="A536" s="2"/>
      <c r="B536" s="2"/>
      <c r="C536" s="2"/>
      <c r="D536" s="2"/>
      <c r="E536" s="2"/>
      <c r="F536" s="2"/>
      <c r="G536" s="2"/>
      <c r="H536" s="2"/>
      <c r="I536" s="2"/>
      <c r="J536" s="2"/>
      <c r="K536" s="2"/>
      <c r="L536" s="2"/>
    </row>
    <row r="537" spans="1:12" x14ac:dyDescent="0.2">
      <c r="A537" s="2"/>
      <c r="B537" s="2"/>
      <c r="C537" s="2"/>
      <c r="D537" s="2"/>
      <c r="E537" s="2"/>
      <c r="F537" s="2"/>
      <c r="G537" s="2"/>
      <c r="H537" s="2"/>
      <c r="I537" s="2"/>
      <c r="J537" s="2"/>
      <c r="K537" s="2"/>
      <c r="L537" s="2"/>
    </row>
    <row r="538" spans="1:12" x14ac:dyDescent="0.2">
      <c r="A538" s="2"/>
      <c r="B538" s="2"/>
      <c r="C538" s="2"/>
      <c r="D538" s="2"/>
      <c r="E538" s="2"/>
      <c r="F538" s="2"/>
      <c r="G538" s="2"/>
      <c r="H538" s="2"/>
      <c r="I538" s="2"/>
      <c r="J538" s="2"/>
      <c r="K538" s="2"/>
      <c r="L538" s="2"/>
    </row>
    <row r="539" spans="1:12" x14ac:dyDescent="0.2">
      <c r="A539" s="2"/>
      <c r="B539" s="2"/>
      <c r="C539" s="2"/>
      <c r="D539" s="2"/>
      <c r="E539" s="2"/>
      <c r="F539" s="2"/>
      <c r="G539" s="2"/>
      <c r="H539" s="2"/>
      <c r="I539" s="2"/>
      <c r="J539" s="2"/>
      <c r="K539" s="2"/>
      <c r="L539" s="2"/>
    </row>
    <row r="540" spans="1:12" x14ac:dyDescent="0.2">
      <c r="A540" s="2"/>
      <c r="B540" s="2"/>
      <c r="C540" s="2"/>
      <c r="D540" s="2"/>
      <c r="E540" s="2"/>
      <c r="F540" s="2"/>
      <c r="G540" s="2"/>
      <c r="H540" s="2"/>
      <c r="I540" s="2"/>
      <c r="J540" s="2"/>
      <c r="K540" s="2"/>
      <c r="L540" s="2"/>
    </row>
    <row r="541" spans="1:12" x14ac:dyDescent="0.2">
      <c r="A541" s="2"/>
      <c r="B541" s="2"/>
      <c r="C541" s="2"/>
      <c r="D541" s="2"/>
      <c r="E541" s="2"/>
      <c r="F541" s="2"/>
      <c r="G541" s="2"/>
      <c r="H541" s="2"/>
      <c r="I541" s="2"/>
      <c r="J541" s="2"/>
      <c r="K541" s="2"/>
      <c r="L541" s="2"/>
    </row>
    <row r="542" spans="1:12" x14ac:dyDescent="0.2">
      <c r="A542" s="2"/>
      <c r="B542" s="2"/>
      <c r="C542" s="2"/>
      <c r="D542" s="2"/>
      <c r="E542" s="2"/>
      <c r="F542" s="2"/>
      <c r="G542" s="2"/>
      <c r="H542" s="2"/>
      <c r="I542" s="2"/>
      <c r="J542" s="2"/>
      <c r="K542" s="2"/>
      <c r="L542" s="2"/>
    </row>
    <row r="543" spans="1:12" x14ac:dyDescent="0.2">
      <c r="A543" s="2"/>
      <c r="B543" s="2"/>
      <c r="C543" s="2"/>
      <c r="D543" s="2"/>
      <c r="E543" s="2"/>
      <c r="F543" s="2"/>
      <c r="G543" s="2"/>
      <c r="H543" s="2"/>
      <c r="I543" s="2"/>
      <c r="J543" s="2"/>
      <c r="K543" s="2"/>
      <c r="L543" s="2"/>
    </row>
    <row r="544" spans="1:12" x14ac:dyDescent="0.2">
      <c r="A544" s="2"/>
      <c r="B544" s="2"/>
      <c r="C544" s="2"/>
      <c r="D544" s="2"/>
      <c r="E544" s="2"/>
      <c r="F544" s="2"/>
      <c r="G544" s="2"/>
      <c r="H544" s="2"/>
      <c r="I544" s="2"/>
      <c r="J544" s="2"/>
      <c r="K544" s="2"/>
      <c r="L544" s="2"/>
    </row>
    <row r="545" spans="1:12" x14ac:dyDescent="0.2">
      <c r="A545" s="2"/>
      <c r="B545" s="2"/>
      <c r="C545" s="2"/>
      <c r="D545" s="2"/>
      <c r="E545" s="2"/>
      <c r="F545" s="2"/>
      <c r="G545" s="2"/>
      <c r="H545" s="2"/>
      <c r="I545" s="2"/>
      <c r="J545" s="2"/>
      <c r="K545" s="2"/>
      <c r="L545" s="2"/>
    </row>
    <row r="546" spans="1:12" x14ac:dyDescent="0.2">
      <c r="A546" s="2"/>
      <c r="B546" s="2"/>
      <c r="C546" s="2"/>
      <c r="D546" s="2"/>
      <c r="E546" s="2"/>
      <c r="F546" s="2"/>
      <c r="G546" s="2"/>
      <c r="H546" s="2"/>
      <c r="I546" s="2"/>
      <c r="J546" s="2"/>
      <c r="K546" s="2"/>
      <c r="L546" s="2"/>
    </row>
    <row r="547" spans="1:12" x14ac:dyDescent="0.2">
      <c r="A547" s="2"/>
      <c r="B547" s="2"/>
      <c r="C547" s="2"/>
      <c r="D547" s="2"/>
      <c r="E547" s="2"/>
      <c r="F547" s="2"/>
      <c r="G547" s="2"/>
      <c r="H547" s="2"/>
      <c r="I547" s="2"/>
      <c r="J547" s="2"/>
      <c r="K547" s="2"/>
      <c r="L547" s="2"/>
    </row>
    <row r="548" spans="1:12" x14ac:dyDescent="0.2">
      <c r="A548" s="2"/>
      <c r="B548" s="2"/>
      <c r="C548" s="2"/>
      <c r="D548" s="2"/>
      <c r="E548" s="2"/>
      <c r="F548" s="2"/>
      <c r="G548" s="2"/>
      <c r="H548" s="2"/>
      <c r="I548" s="2"/>
      <c r="J548" s="2"/>
      <c r="K548" s="2"/>
      <c r="L548" s="2"/>
    </row>
    <row r="549" spans="1:12" x14ac:dyDescent="0.2">
      <c r="A549" s="2"/>
      <c r="B549" s="2"/>
      <c r="C549" s="2"/>
      <c r="D549" s="2"/>
      <c r="E549" s="2"/>
      <c r="F549" s="2"/>
      <c r="G549" s="2"/>
      <c r="H549" s="2"/>
      <c r="I549" s="2"/>
      <c r="J549" s="2"/>
      <c r="K549" s="2"/>
      <c r="L549" s="2"/>
    </row>
    <row r="550" spans="1:12" x14ac:dyDescent="0.2">
      <c r="A550" s="2"/>
      <c r="B550" s="2"/>
      <c r="C550" s="2"/>
      <c r="D550" s="2"/>
      <c r="E550" s="2"/>
      <c r="F550" s="2"/>
      <c r="G550" s="2"/>
      <c r="H550" s="2"/>
      <c r="I550" s="2"/>
      <c r="J550" s="2"/>
      <c r="K550" s="2"/>
      <c r="L550" s="2"/>
    </row>
    <row r="551" spans="1:12" x14ac:dyDescent="0.2">
      <c r="A551" s="2"/>
      <c r="B551" s="2"/>
      <c r="C551" s="2"/>
      <c r="D551" s="2"/>
      <c r="E551" s="2"/>
      <c r="F551" s="2"/>
      <c r="G551" s="2"/>
      <c r="H551" s="2"/>
      <c r="I551" s="2"/>
      <c r="J551" s="2"/>
      <c r="K551" s="2"/>
      <c r="L551" s="2"/>
    </row>
    <row r="552" spans="1:12" x14ac:dyDescent="0.2">
      <c r="A552" s="2"/>
      <c r="B552" s="2"/>
      <c r="C552" s="2"/>
      <c r="D552" s="2"/>
      <c r="E552" s="2"/>
      <c r="F552" s="2"/>
      <c r="G552" s="2"/>
      <c r="H552" s="2"/>
      <c r="I552" s="2"/>
      <c r="J552" s="2"/>
      <c r="K552" s="2"/>
      <c r="L552" s="2"/>
    </row>
    <row r="553" spans="1:12" x14ac:dyDescent="0.2">
      <c r="A553" s="2"/>
      <c r="B553" s="2"/>
      <c r="C553" s="2"/>
      <c r="D553" s="2"/>
      <c r="E553" s="2"/>
      <c r="F553" s="2"/>
      <c r="G553" s="2"/>
      <c r="H553" s="2"/>
      <c r="I553" s="2"/>
      <c r="J553" s="2"/>
      <c r="K553" s="2"/>
      <c r="L553" s="2"/>
    </row>
    <row r="554" spans="1:12" x14ac:dyDescent="0.2">
      <c r="A554" s="2"/>
      <c r="B554" s="2"/>
      <c r="C554" s="2"/>
      <c r="D554" s="2"/>
      <c r="E554" s="2"/>
      <c r="F554" s="2"/>
      <c r="G554" s="2"/>
      <c r="H554" s="2"/>
      <c r="I554" s="2"/>
      <c r="J554" s="2"/>
      <c r="K554" s="2"/>
      <c r="L554" s="2"/>
    </row>
    <row r="555" spans="1:12" x14ac:dyDescent="0.2">
      <c r="A555" s="2"/>
      <c r="B555" s="2"/>
      <c r="C555" s="2"/>
      <c r="D555" s="2"/>
      <c r="E555" s="2"/>
      <c r="F555" s="2"/>
      <c r="G555" s="2"/>
      <c r="H555" s="2"/>
      <c r="I555" s="2"/>
      <c r="J555" s="2"/>
      <c r="K555" s="2"/>
      <c r="L555" s="2"/>
    </row>
    <row r="556" spans="1:12" x14ac:dyDescent="0.2">
      <c r="A556" s="2"/>
      <c r="B556" s="2"/>
      <c r="C556" s="2"/>
      <c r="D556" s="2"/>
      <c r="E556" s="2"/>
      <c r="F556" s="2"/>
      <c r="G556" s="2"/>
      <c r="H556" s="2"/>
      <c r="I556" s="2"/>
      <c r="J556" s="2"/>
      <c r="K556" s="2"/>
      <c r="L556" s="2"/>
    </row>
    <row r="557" spans="1:12" x14ac:dyDescent="0.2">
      <c r="A557" s="2"/>
      <c r="B557" s="2"/>
      <c r="C557" s="2"/>
      <c r="D557" s="2"/>
      <c r="E557" s="2"/>
      <c r="F557" s="2"/>
      <c r="G557" s="2"/>
      <c r="H557" s="2"/>
      <c r="I557" s="2"/>
      <c r="J557" s="2"/>
      <c r="K557" s="2"/>
      <c r="L557" s="2"/>
    </row>
    <row r="558" spans="1:12" x14ac:dyDescent="0.2">
      <c r="A558" s="2"/>
      <c r="B558" s="2"/>
      <c r="C558" s="2"/>
      <c r="D558" s="2"/>
      <c r="E558" s="2"/>
      <c r="F558" s="2"/>
      <c r="G558" s="2"/>
      <c r="H558" s="2"/>
      <c r="I558" s="2"/>
      <c r="J558" s="2"/>
      <c r="K558" s="2"/>
      <c r="L558" s="2"/>
    </row>
    <row r="559" spans="1:12" x14ac:dyDescent="0.2">
      <c r="A559" s="2"/>
      <c r="B559" s="2"/>
      <c r="C559" s="2"/>
      <c r="D559" s="2"/>
      <c r="E559" s="2"/>
      <c r="F559" s="2"/>
      <c r="G559" s="2"/>
      <c r="H559" s="2"/>
      <c r="I559" s="2"/>
      <c r="J559" s="2"/>
      <c r="K559" s="2"/>
      <c r="L559" s="2"/>
    </row>
    <row r="560" spans="1:12" x14ac:dyDescent="0.2">
      <c r="A560" s="2"/>
      <c r="B560" s="2"/>
      <c r="C560" s="2"/>
      <c r="D560" s="2"/>
      <c r="E560" s="2"/>
      <c r="F560" s="2"/>
      <c r="G560" s="2"/>
      <c r="H560" s="2"/>
      <c r="I560" s="2"/>
      <c r="J560" s="2"/>
      <c r="K560" s="2"/>
      <c r="L560" s="2"/>
    </row>
    <row r="561" spans="1:12" x14ac:dyDescent="0.2">
      <c r="A561" s="2"/>
      <c r="B561" s="2"/>
      <c r="C561" s="2"/>
      <c r="D561" s="2"/>
      <c r="E561" s="2"/>
      <c r="F561" s="2"/>
      <c r="G561" s="2"/>
      <c r="H561" s="2"/>
      <c r="I561" s="2"/>
      <c r="J561" s="2"/>
      <c r="K561" s="2"/>
      <c r="L561" s="2"/>
    </row>
    <row r="562" spans="1:12" x14ac:dyDescent="0.2">
      <c r="A562" s="2"/>
      <c r="B562" s="2"/>
      <c r="C562" s="2"/>
      <c r="D562" s="2"/>
      <c r="E562" s="2"/>
      <c r="F562" s="2"/>
      <c r="G562" s="2"/>
      <c r="H562" s="2"/>
      <c r="I562" s="2"/>
      <c r="J562" s="2"/>
      <c r="K562" s="2"/>
      <c r="L562" s="2"/>
    </row>
    <row r="563" spans="1:12" x14ac:dyDescent="0.2">
      <c r="A563" s="2"/>
      <c r="B563" s="2"/>
      <c r="C563" s="2"/>
      <c r="D563" s="2"/>
      <c r="E563" s="2"/>
      <c r="F563" s="2"/>
      <c r="G563" s="2"/>
      <c r="H563" s="2"/>
      <c r="I563" s="2"/>
      <c r="J563" s="2"/>
      <c r="K563" s="2"/>
      <c r="L563" s="2"/>
    </row>
    <row r="564" spans="1:12" x14ac:dyDescent="0.2">
      <c r="A564" s="2"/>
      <c r="B564" s="2"/>
      <c r="C564" s="2"/>
      <c r="D564" s="2"/>
      <c r="E564" s="2"/>
      <c r="F564" s="2"/>
      <c r="G564" s="2"/>
      <c r="H564" s="2"/>
      <c r="I564" s="2"/>
      <c r="J564" s="2"/>
      <c r="K564" s="2"/>
      <c r="L564" s="2"/>
    </row>
    <row r="565" spans="1:12" x14ac:dyDescent="0.2">
      <c r="A565" s="2"/>
      <c r="B565" s="2"/>
      <c r="C565" s="2"/>
      <c r="D565" s="2"/>
      <c r="E565" s="2"/>
      <c r="F565" s="2"/>
      <c r="G565" s="2"/>
      <c r="H565" s="2"/>
      <c r="I565" s="2"/>
      <c r="J565" s="2"/>
      <c r="K565" s="2"/>
      <c r="L565" s="2"/>
    </row>
    <row r="566" spans="1:12" x14ac:dyDescent="0.2">
      <c r="A566" s="2"/>
      <c r="B566" s="2"/>
      <c r="C566" s="2"/>
      <c r="D566" s="2"/>
      <c r="E566" s="2"/>
      <c r="F566" s="2"/>
      <c r="G566" s="2"/>
      <c r="H566" s="2"/>
      <c r="I566" s="2"/>
      <c r="J566" s="2"/>
      <c r="K566" s="2"/>
      <c r="L566" s="2"/>
    </row>
    <row r="567" spans="1:12" x14ac:dyDescent="0.2">
      <c r="A567" s="2"/>
      <c r="B567" s="2"/>
      <c r="C567" s="2"/>
      <c r="D567" s="2"/>
      <c r="E567" s="2"/>
      <c r="F567" s="2"/>
      <c r="G567" s="2"/>
      <c r="H567" s="2"/>
      <c r="I567" s="2"/>
      <c r="J567" s="2"/>
      <c r="K567" s="2"/>
      <c r="L567" s="2"/>
    </row>
    <row r="568" spans="1:12" x14ac:dyDescent="0.2">
      <c r="A568" s="2"/>
      <c r="B568" s="2"/>
      <c r="C568" s="2"/>
      <c r="D568" s="2"/>
      <c r="E568" s="2"/>
      <c r="F568" s="2"/>
      <c r="G568" s="2"/>
      <c r="H568" s="2"/>
      <c r="I568" s="2"/>
      <c r="J568" s="2"/>
      <c r="K568" s="2"/>
      <c r="L568" s="2"/>
    </row>
    <row r="569" spans="1:12" x14ac:dyDescent="0.2">
      <c r="A569" s="2"/>
      <c r="B569" s="2"/>
      <c r="C569" s="2"/>
      <c r="D569" s="2"/>
      <c r="E569" s="2"/>
      <c r="F569" s="2"/>
      <c r="G569" s="2"/>
      <c r="H569" s="2"/>
      <c r="I569" s="2"/>
      <c r="J569" s="2"/>
      <c r="K569" s="2"/>
      <c r="L569" s="2"/>
    </row>
    <row r="570" spans="1:12" x14ac:dyDescent="0.2">
      <c r="A570" s="2"/>
      <c r="B570" s="2"/>
      <c r="C570" s="2"/>
      <c r="D570" s="2"/>
      <c r="E570" s="2"/>
      <c r="F570" s="2"/>
      <c r="G570" s="2"/>
      <c r="H570" s="2"/>
      <c r="I570" s="2"/>
      <c r="J570" s="2"/>
      <c r="K570" s="2"/>
      <c r="L570" s="2"/>
    </row>
    <row r="571" spans="1:12" x14ac:dyDescent="0.2">
      <c r="A571" s="2"/>
      <c r="B571" s="2"/>
      <c r="C571" s="2"/>
      <c r="D571" s="2"/>
      <c r="E571" s="2"/>
      <c r="F571" s="2"/>
      <c r="G571" s="2"/>
      <c r="H571" s="2"/>
      <c r="I571" s="2"/>
      <c r="J571" s="2"/>
      <c r="K571" s="2"/>
      <c r="L571" s="2"/>
    </row>
    <row r="572" spans="1:12" x14ac:dyDescent="0.2">
      <c r="A572" s="2"/>
      <c r="B572" s="2"/>
      <c r="C572" s="2"/>
      <c r="D572" s="2"/>
      <c r="E572" s="2"/>
      <c r="F572" s="2"/>
      <c r="G572" s="2"/>
      <c r="H572" s="2"/>
      <c r="I572" s="2"/>
      <c r="J572" s="2"/>
      <c r="K572" s="2"/>
      <c r="L572" s="2"/>
    </row>
    <row r="573" spans="1:12" x14ac:dyDescent="0.2">
      <c r="A573" s="2"/>
      <c r="B573" s="2"/>
      <c r="C573" s="2"/>
      <c r="D573" s="2"/>
      <c r="E573" s="2"/>
      <c r="F573" s="2"/>
      <c r="G573" s="2"/>
      <c r="H573" s="2"/>
      <c r="I573" s="2"/>
      <c r="J573" s="2"/>
      <c r="K573" s="2"/>
      <c r="L573" s="2"/>
    </row>
    <row r="574" spans="1:12" x14ac:dyDescent="0.2">
      <c r="A574" s="2"/>
      <c r="B574" s="2"/>
      <c r="C574" s="2"/>
      <c r="D574" s="2"/>
      <c r="E574" s="2"/>
      <c r="F574" s="2"/>
      <c r="G574" s="2"/>
      <c r="H574" s="2"/>
      <c r="I574" s="2"/>
      <c r="J574" s="2"/>
      <c r="K574" s="2"/>
      <c r="L574" s="2"/>
    </row>
    <row r="575" spans="1:12" x14ac:dyDescent="0.2">
      <c r="A575" s="2"/>
      <c r="B575" s="2"/>
      <c r="C575" s="2"/>
      <c r="D575" s="2"/>
      <c r="E575" s="2"/>
      <c r="F575" s="2"/>
      <c r="G575" s="2"/>
      <c r="H575" s="2"/>
      <c r="I575" s="2"/>
      <c r="J575" s="2"/>
      <c r="K575" s="2"/>
      <c r="L575" s="2"/>
    </row>
    <row r="576" spans="1:12" x14ac:dyDescent="0.2">
      <c r="A576" s="2"/>
      <c r="B576" s="2"/>
      <c r="C576" s="2"/>
      <c r="D576" s="2"/>
      <c r="E576" s="2"/>
      <c r="F576" s="2"/>
      <c r="G576" s="2"/>
      <c r="H576" s="2"/>
      <c r="I576" s="2"/>
      <c r="J576" s="2"/>
      <c r="K576" s="2"/>
      <c r="L576" s="2"/>
    </row>
    <row r="577" spans="1:12" x14ac:dyDescent="0.2">
      <c r="A577" s="2"/>
      <c r="B577" s="2"/>
      <c r="C577" s="2"/>
      <c r="D577" s="2"/>
      <c r="E577" s="2"/>
      <c r="F577" s="2"/>
      <c r="G577" s="2"/>
      <c r="H577" s="2"/>
      <c r="I577" s="2"/>
      <c r="J577" s="2"/>
      <c r="K577" s="2"/>
      <c r="L577" s="2"/>
    </row>
    <row r="578" spans="1:12" x14ac:dyDescent="0.2">
      <c r="A578" s="2"/>
      <c r="B578" s="2"/>
      <c r="C578" s="2"/>
      <c r="D578" s="2"/>
      <c r="E578" s="2"/>
      <c r="F578" s="2"/>
      <c r="G578" s="2"/>
      <c r="H578" s="2"/>
      <c r="I578" s="2"/>
      <c r="J578" s="2"/>
      <c r="K578" s="2"/>
      <c r="L578" s="2"/>
    </row>
    <row r="579" spans="1:12" x14ac:dyDescent="0.2">
      <c r="A579" s="2"/>
      <c r="B579" s="2"/>
      <c r="C579" s="2"/>
      <c r="D579" s="2"/>
      <c r="E579" s="2"/>
      <c r="F579" s="2"/>
      <c r="G579" s="2"/>
      <c r="H579" s="2"/>
      <c r="I579" s="2"/>
      <c r="J579" s="2"/>
      <c r="K579" s="2"/>
      <c r="L579" s="2"/>
    </row>
    <row r="580" spans="1:12" x14ac:dyDescent="0.2">
      <c r="A580" s="2"/>
      <c r="B580" s="2"/>
      <c r="C580" s="2"/>
      <c r="D580" s="2"/>
      <c r="E580" s="2"/>
      <c r="F580" s="2"/>
      <c r="G580" s="2"/>
      <c r="H580" s="2"/>
      <c r="I580" s="2"/>
      <c r="J580" s="2"/>
      <c r="K580" s="2"/>
      <c r="L580" s="2"/>
    </row>
    <row r="581" spans="1:12" x14ac:dyDescent="0.2">
      <c r="A581" s="2"/>
      <c r="B581" s="2"/>
      <c r="C581" s="2"/>
      <c r="D581" s="2"/>
      <c r="E581" s="2"/>
      <c r="F581" s="2"/>
      <c r="G581" s="2"/>
      <c r="H581" s="2"/>
      <c r="I581" s="2"/>
      <c r="J581" s="2"/>
      <c r="K581" s="2"/>
      <c r="L581" s="2"/>
    </row>
    <row r="582" spans="1:12" x14ac:dyDescent="0.2">
      <c r="A582" s="2"/>
      <c r="B582" s="2"/>
      <c r="C582" s="2"/>
      <c r="D582" s="2"/>
      <c r="E582" s="2"/>
      <c r="F582" s="2"/>
      <c r="G582" s="2"/>
      <c r="H582" s="2"/>
      <c r="I582" s="2"/>
      <c r="J582" s="2"/>
      <c r="K582" s="2"/>
      <c r="L582" s="2"/>
    </row>
    <row r="583" spans="1:12" x14ac:dyDescent="0.2">
      <c r="A583" s="2"/>
      <c r="B583" s="2"/>
      <c r="C583" s="2"/>
      <c r="D583" s="2"/>
      <c r="E583" s="2"/>
      <c r="F583" s="2"/>
      <c r="G583" s="2"/>
      <c r="H583" s="2"/>
      <c r="I583" s="2"/>
      <c r="J583" s="2"/>
      <c r="K583" s="2"/>
      <c r="L583" s="2"/>
    </row>
    <row r="584" spans="1:12" x14ac:dyDescent="0.2">
      <c r="A584" s="2"/>
      <c r="B584" s="2"/>
      <c r="C584" s="2"/>
      <c r="D584" s="2"/>
      <c r="E584" s="2"/>
      <c r="F584" s="2"/>
      <c r="G584" s="2"/>
      <c r="H584" s="2"/>
      <c r="I584" s="2"/>
      <c r="J584" s="2"/>
      <c r="K584" s="2"/>
      <c r="L584" s="2"/>
    </row>
    <row r="585" spans="1:12" x14ac:dyDescent="0.2">
      <c r="A585" s="2"/>
      <c r="B585" s="2"/>
      <c r="C585" s="2"/>
      <c r="D585" s="2"/>
      <c r="E585" s="2"/>
      <c r="F585" s="2"/>
      <c r="G585" s="2"/>
      <c r="H585" s="2"/>
      <c r="I585" s="2"/>
      <c r="J585" s="2"/>
      <c r="K585" s="2"/>
      <c r="L585" s="2"/>
    </row>
    <row r="586" spans="1:12" x14ac:dyDescent="0.2">
      <c r="A586" s="2"/>
      <c r="B586" s="2"/>
      <c r="C586" s="2"/>
      <c r="D586" s="2"/>
      <c r="E586" s="2"/>
      <c r="F586" s="2"/>
      <c r="G586" s="2"/>
      <c r="H586" s="2"/>
      <c r="I586" s="2"/>
      <c r="J586" s="2"/>
      <c r="K586" s="2"/>
      <c r="L586" s="2"/>
    </row>
    <row r="587" spans="1:12" x14ac:dyDescent="0.2">
      <c r="A587" s="2"/>
      <c r="B587" s="2"/>
      <c r="C587" s="2"/>
      <c r="D587" s="2"/>
      <c r="E587" s="2"/>
      <c r="F587" s="2"/>
      <c r="G587" s="2"/>
      <c r="H587" s="2"/>
      <c r="I587" s="2"/>
      <c r="J587" s="2"/>
      <c r="K587" s="2"/>
      <c r="L587" s="2"/>
    </row>
    <row r="588" spans="1:12" x14ac:dyDescent="0.2">
      <c r="A588" s="2"/>
      <c r="B588" s="2"/>
      <c r="C588" s="2"/>
      <c r="D588" s="2"/>
      <c r="E588" s="2"/>
      <c r="F588" s="2"/>
      <c r="G588" s="2"/>
      <c r="H588" s="2"/>
      <c r="I588" s="2"/>
      <c r="J588" s="2"/>
      <c r="K588" s="2"/>
      <c r="L588" s="2"/>
    </row>
    <row r="589" spans="1:12" x14ac:dyDescent="0.2">
      <c r="A589" s="2"/>
      <c r="B589" s="2"/>
      <c r="C589" s="2"/>
      <c r="D589" s="2"/>
      <c r="E589" s="2"/>
      <c r="F589" s="2"/>
      <c r="G589" s="2"/>
      <c r="H589" s="2"/>
      <c r="I589" s="2"/>
      <c r="J589" s="2"/>
      <c r="K589" s="2"/>
      <c r="L589" s="2"/>
    </row>
    <row r="590" spans="1:12" x14ac:dyDescent="0.2">
      <c r="A590" s="2"/>
      <c r="B590" s="2"/>
      <c r="C590" s="2"/>
      <c r="D590" s="2"/>
      <c r="E590" s="2"/>
      <c r="F590" s="2"/>
      <c r="G590" s="2"/>
      <c r="H590" s="2"/>
      <c r="I590" s="2"/>
      <c r="J590" s="2"/>
      <c r="K590" s="2"/>
      <c r="L590" s="2"/>
    </row>
    <row r="591" spans="1:12" x14ac:dyDescent="0.2">
      <c r="A591" s="2"/>
      <c r="B591" s="2"/>
      <c r="C591" s="2"/>
      <c r="D591" s="2"/>
      <c r="E591" s="2"/>
      <c r="F591" s="2"/>
      <c r="G591" s="2"/>
      <c r="H591" s="2"/>
      <c r="I591" s="2"/>
      <c r="J591" s="2"/>
      <c r="K591" s="2"/>
      <c r="L591" s="2"/>
    </row>
    <row r="592" spans="1:12" x14ac:dyDescent="0.2">
      <c r="A592" s="2"/>
      <c r="B592" s="2"/>
      <c r="C592" s="2"/>
      <c r="D592" s="2"/>
      <c r="E592" s="2"/>
      <c r="F592" s="2"/>
      <c r="G592" s="2"/>
      <c r="H592" s="2"/>
      <c r="I592" s="2"/>
      <c r="J592" s="2"/>
      <c r="K592" s="2"/>
      <c r="L592" s="2"/>
    </row>
    <row r="593" spans="1:12" x14ac:dyDescent="0.2">
      <c r="A593" s="2"/>
      <c r="B593" s="2"/>
      <c r="C593" s="2"/>
      <c r="D593" s="2"/>
      <c r="E593" s="2"/>
      <c r="F593" s="2"/>
      <c r="G593" s="2"/>
      <c r="H593" s="2"/>
      <c r="I593" s="2"/>
      <c r="J593" s="2"/>
      <c r="K593" s="2"/>
      <c r="L593" s="2"/>
    </row>
    <row r="594" spans="1:12" x14ac:dyDescent="0.2">
      <c r="A594" s="2"/>
      <c r="B594" s="2"/>
      <c r="C594" s="2"/>
      <c r="D594" s="2"/>
      <c r="E594" s="2"/>
      <c r="F594" s="2"/>
      <c r="G594" s="2"/>
      <c r="H594" s="2"/>
      <c r="I594" s="2"/>
      <c r="J594" s="2"/>
      <c r="K594" s="2"/>
      <c r="L594" s="2"/>
    </row>
    <row r="595" spans="1:12" x14ac:dyDescent="0.2">
      <c r="A595" s="2"/>
      <c r="B595" s="2"/>
      <c r="C595" s="2"/>
      <c r="D595" s="2"/>
      <c r="E595" s="2"/>
      <c r="F595" s="2"/>
      <c r="G595" s="2"/>
      <c r="H595" s="2"/>
      <c r="I595" s="2"/>
      <c r="J595" s="2"/>
      <c r="K595" s="2"/>
      <c r="L595" s="2"/>
    </row>
    <row r="596" spans="1:12" x14ac:dyDescent="0.2">
      <c r="A596" s="2"/>
      <c r="B596" s="2"/>
      <c r="C596" s="2"/>
      <c r="D596" s="2"/>
      <c r="E596" s="2"/>
      <c r="F596" s="2"/>
      <c r="G596" s="2"/>
      <c r="H596" s="2"/>
      <c r="I596" s="2"/>
      <c r="J596" s="2"/>
      <c r="K596" s="2"/>
      <c r="L596" s="2"/>
    </row>
    <row r="597" spans="1:12" x14ac:dyDescent="0.2">
      <c r="A597" s="2"/>
      <c r="B597" s="2"/>
      <c r="C597" s="2"/>
      <c r="D597" s="2"/>
      <c r="E597" s="2"/>
      <c r="F597" s="2"/>
      <c r="G597" s="2"/>
      <c r="H597" s="2"/>
      <c r="I597" s="2"/>
      <c r="J597" s="2"/>
      <c r="K597" s="2"/>
      <c r="L597" s="2"/>
    </row>
    <row r="598" spans="1:12" x14ac:dyDescent="0.2">
      <c r="A598" s="2"/>
      <c r="B598" s="2"/>
      <c r="C598" s="2"/>
      <c r="D598" s="2"/>
      <c r="E598" s="2"/>
      <c r="F598" s="2"/>
      <c r="G598" s="2"/>
      <c r="H598" s="2"/>
      <c r="I598" s="2"/>
      <c r="J598" s="2"/>
      <c r="K598" s="2"/>
      <c r="L598" s="2"/>
    </row>
    <row r="599" spans="1:12" x14ac:dyDescent="0.2">
      <c r="A599" s="2"/>
      <c r="B599" s="2"/>
      <c r="C599" s="2"/>
      <c r="D599" s="2"/>
      <c r="E599" s="2"/>
      <c r="F599" s="2"/>
      <c r="G599" s="2"/>
      <c r="H599" s="2"/>
      <c r="I599" s="2"/>
      <c r="J599" s="2"/>
      <c r="K599" s="2"/>
      <c r="L599" s="2"/>
    </row>
    <row r="600" spans="1:12" x14ac:dyDescent="0.2">
      <c r="A600" s="2"/>
      <c r="B600" s="2"/>
      <c r="C600" s="2"/>
      <c r="D600" s="2"/>
      <c r="E600" s="2"/>
      <c r="F600" s="2"/>
      <c r="G600" s="2"/>
      <c r="H600" s="2"/>
      <c r="I600" s="2"/>
      <c r="J600" s="2"/>
      <c r="K600" s="2"/>
      <c r="L600" s="2"/>
    </row>
    <row r="601" spans="1:12" x14ac:dyDescent="0.2">
      <c r="A601" s="2"/>
      <c r="B601" s="2"/>
      <c r="C601" s="2"/>
      <c r="D601" s="2"/>
      <c r="E601" s="2"/>
      <c r="F601" s="2"/>
      <c r="G601" s="2"/>
      <c r="H601" s="2"/>
      <c r="I601" s="2"/>
      <c r="J601" s="2"/>
      <c r="K601" s="2"/>
      <c r="L601" s="2"/>
    </row>
    <row r="602" spans="1:12" x14ac:dyDescent="0.2">
      <c r="A602" s="2"/>
      <c r="B602" s="2"/>
      <c r="C602" s="2"/>
      <c r="D602" s="2"/>
      <c r="E602" s="2"/>
      <c r="F602" s="2"/>
      <c r="G602" s="2"/>
      <c r="H602" s="2"/>
      <c r="I602" s="2"/>
      <c r="J602" s="2"/>
      <c r="K602" s="2"/>
      <c r="L602" s="2"/>
    </row>
    <row r="603" spans="1:12" x14ac:dyDescent="0.2">
      <c r="A603" s="2"/>
      <c r="B603" s="2"/>
      <c r="C603" s="2"/>
      <c r="D603" s="2"/>
      <c r="E603" s="2"/>
      <c r="F603" s="2"/>
      <c r="G603" s="2"/>
      <c r="H603" s="2"/>
      <c r="I603" s="2"/>
      <c r="J603" s="2"/>
      <c r="K603" s="2"/>
      <c r="L603" s="2"/>
    </row>
    <row r="604" spans="1:12" x14ac:dyDescent="0.2">
      <c r="A604" s="2"/>
      <c r="B604" s="2"/>
      <c r="C604" s="2"/>
      <c r="D604" s="2"/>
      <c r="E604" s="2"/>
      <c r="F604" s="2"/>
      <c r="G604" s="2"/>
      <c r="H604" s="2"/>
      <c r="I604" s="2"/>
      <c r="J604" s="2"/>
      <c r="K604" s="2"/>
      <c r="L604" s="2"/>
    </row>
    <row r="605" spans="1:12" x14ac:dyDescent="0.2">
      <c r="A605" s="2"/>
      <c r="B605" s="2"/>
      <c r="C605" s="2"/>
      <c r="D605" s="2"/>
      <c r="E605" s="2"/>
      <c r="F605" s="2"/>
      <c r="G605" s="2"/>
      <c r="H605" s="2"/>
      <c r="I605" s="2"/>
      <c r="J605" s="2"/>
      <c r="K605" s="2"/>
      <c r="L605" s="2"/>
    </row>
    <row r="606" spans="1:12" x14ac:dyDescent="0.2">
      <c r="A606" s="2"/>
      <c r="B606" s="2"/>
      <c r="C606" s="2"/>
      <c r="D606" s="2"/>
      <c r="E606" s="2"/>
      <c r="F606" s="2"/>
      <c r="G606" s="2"/>
      <c r="H606" s="2"/>
      <c r="I606" s="2"/>
      <c r="J606" s="2"/>
      <c r="K606" s="2"/>
      <c r="L606" s="2"/>
    </row>
    <row r="607" spans="1:12" x14ac:dyDescent="0.2">
      <c r="A607" s="2"/>
      <c r="B607" s="2"/>
      <c r="C607" s="2"/>
      <c r="D607" s="2"/>
      <c r="E607" s="2"/>
      <c r="F607" s="2"/>
      <c r="G607" s="2"/>
      <c r="H607" s="2"/>
      <c r="I607" s="2"/>
      <c r="J607" s="2"/>
      <c r="K607" s="2"/>
      <c r="L607" s="2"/>
    </row>
    <row r="608" spans="1:12" x14ac:dyDescent="0.2">
      <c r="A608" s="2"/>
      <c r="B608" s="2"/>
      <c r="C608" s="2"/>
      <c r="D608" s="2"/>
      <c r="E608" s="2"/>
      <c r="F608" s="2"/>
      <c r="G608" s="2"/>
      <c r="H608" s="2"/>
      <c r="I608" s="2"/>
      <c r="J608" s="2"/>
      <c r="K608" s="2"/>
      <c r="L608" s="2"/>
    </row>
    <row r="609" spans="1:12" x14ac:dyDescent="0.2">
      <c r="A609" s="2"/>
      <c r="B609" s="2"/>
      <c r="C609" s="2"/>
      <c r="D609" s="2"/>
      <c r="E609" s="2"/>
      <c r="F609" s="2"/>
      <c r="G609" s="2"/>
      <c r="H609" s="2"/>
      <c r="I609" s="2"/>
      <c r="J609" s="2"/>
      <c r="K609" s="2"/>
      <c r="L609" s="2"/>
    </row>
    <row r="610" spans="1:12" x14ac:dyDescent="0.2">
      <c r="A610" s="2"/>
      <c r="B610" s="2"/>
      <c r="C610" s="2"/>
      <c r="D610" s="2"/>
      <c r="E610" s="2"/>
      <c r="F610" s="2"/>
      <c r="G610" s="2"/>
      <c r="H610" s="2"/>
      <c r="I610" s="2"/>
      <c r="J610" s="2"/>
      <c r="K610" s="2"/>
      <c r="L610" s="2"/>
    </row>
    <row r="611" spans="1:12" x14ac:dyDescent="0.2">
      <c r="A611" s="2"/>
      <c r="B611" s="2"/>
      <c r="C611" s="2"/>
      <c r="D611" s="2"/>
      <c r="E611" s="2"/>
      <c r="F611" s="2"/>
      <c r="G611" s="2"/>
      <c r="H611" s="2"/>
      <c r="I611" s="2"/>
      <c r="J611" s="2"/>
      <c r="K611" s="2"/>
      <c r="L611" s="2"/>
    </row>
    <row r="612" spans="1:12" x14ac:dyDescent="0.2">
      <c r="A612" s="2"/>
      <c r="B612" s="2"/>
      <c r="C612" s="2"/>
      <c r="D612" s="2"/>
      <c r="E612" s="2"/>
      <c r="F612" s="2"/>
      <c r="G612" s="2"/>
      <c r="H612" s="2"/>
      <c r="I612" s="2"/>
      <c r="J612" s="2"/>
      <c r="K612" s="2"/>
      <c r="L612" s="2"/>
    </row>
    <row r="613" spans="1:12" x14ac:dyDescent="0.2">
      <c r="A613" s="2"/>
      <c r="B613" s="2"/>
      <c r="C613" s="2"/>
      <c r="D613" s="2"/>
      <c r="E613" s="2"/>
      <c r="F613" s="2"/>
      <c r="G613" s="2"/>
      <c r="H613" s="2"/>
      <c r="I613" s="2"/>
      <c r="J613" s="2"/>
      <c r="K613" s="2"/>
      <c r="L613" s="2"/>
    </row>
    <row r="614" spans="1:12" x14ac:dyDescent="0.2">
      <c r="A614" s="2"/>
      <c r="B614" s="2"/>
      <c r="C614" s="2"/>
      <c r="D614" s="2"/>
      <c r="E614" s="2"/>
      <c r="F614" s="2"/>
      <c r="G614" s="2"/>
      <c r="H614" s="2"/>
      <c r="I614" s="2"/>
      <c r="J614" s="2"/>
      <c r="K614" s="2"/>
      <c r="L614" s="2"/>
    </row>
    <row r="615" spans="1:12" x14ac:dyDescent="0.2">
      <c r="A615" s="2"/>
      <c r="B615" s="2"/>
      <c r="C615" s="2"/>
      <c r="D615" s="2"/>
      <c r="E615" s="2"/>
      <c r="F615" s="2"/>
      <c r="G615" s="2"/>
      <c r="H615" s="2"/>
      <c r="I615" s="2"/>
      <c r="J615" s="2"/>
      <c r="K615" s="2"/>
      <c r="L615" s="2"/>
    </row>
    <row r="616" spans="1:12" x14ac:dyDescent="0.2">
      <c r="A616" s="2"/>
      <c r="B616" s="2"/>
      <c r="C616" s="2"/>
      <c r="D616" s="2"/>
      <c r="E616" s="2"/>
      <c r="F616" s="2"/>
      <c r="G616" s="2"/>
      <c r="H616" s="2"/>
      <c r="I616" s="2"/>
      <c r="J616" s="2"/>
      <c r="K616" s="2"/>
      <c r="L616" s="2"/>
    </row>
    <row r="617" spans="1:12" x14ac:dyDescent="0.2">
      <c r="A617" s="2"/>
      <c r="B617" s="2"/>
      <c r="C617" s="2"/>
      <c r="D617" s="2"/>
      <c r="E617" s="2"/>
      <c r="F617" s="2"/>
      <c r="G617" s="2"/>
      <c r="H617" s="2"/>
      <c r="I617" s="2"/>
      <c r="J617" s="2"/>
      <c r="K617" s="2"/>
      <c r="L617" s="2"/>
    </row>
    <row r="618" spans="1:12" x14ac:dyDescent="0.2">
      <c r="A618" s="2"/>
      <c r="B618" s="2"/>
      <c r="C618" s="2"/>
      <c r="D618" s="2"/>
      <c r="E618" s="2"/>
      <c r="F618" s="2"/>
      <c r="G618" s="2"/>
      <c r="H618" s="2"/>
      <c r="I618" s="2"/>
      <c r="J618" s="2"/>
      <c r="K618" s="2"/>
      <c r="L618" s="2"/>
    </row>
    <row r="619" spans="1:12" x14ac:dyDescent="0.2">
      <c r="A619" s="2"/>
      <c r="B619" s="2"/>
      <c r="C619" s="2"/>
      <c r="D619" s="2"/>
      <c r="E619" s="2"/>
      <c r="F619" s="2"/>
      <c r="G619" s="2"/>
      <c r="H619" s="2"/>
      <c r="I619" s="2"/>
      <c r="J619" s="2"/>
      <c r="K619" s="2"/>
      <c r="L619" s="2"/>
    </row>
    <row r="620" spans="1:12" x14ac:dyDescent="0.2">
      <c r="A620" s="2"/>
      <c r="B620" s="2"/>
      <c r="C620" s="2"/>
      <c r="D620" s="2"/>
      <c r="E620" s="2"/>
      <c r="F620" s="2"/>
      <c r="G620" s="2"/>
      <c r="H620" s="2"/>
      <c r="I620" s="2"/>
      <c r="J620" s="2"/>
      <c r="K620" s="2"/>
      <c r="L620" s="2"/>
    </row>
    <row r="621" spans="1:12" x14ac:dyDescent="0.2">
      <c r="A621" s="2"/>
      <c r="B621" s="2"/>
      <c r="C621" s="2"/>
      <c r="D621" s="2"/>
      <c r="E621" s="2"/>
      <c r="F621" s="2"/>
      <c r="G621" s="2"/>
      <c r="H621" s="2"/>
      <c r="I621" s="2"/>
      <c r="J621" s="2"/>
      <c r="K621" s="2"/>
      <c r="L621" s="2"/>
    </row>
    <row r="622" spans="1:12" x14ac:dyDescent="0.2">
      <c r="A622" s="2"/>
      <c r="B622" s="2"/>
      <c r="C622" s="2"/>
      <c r="D622" s="2"/>
      <c r="E622" s="2"/>
      <c r="F622" s="2"/>
      <c r="G622" s="2"/>
      <c r="H622" s="2"/>
      <c r="I622" s="2"/>
      <c r="J622" s="2"/>
      <c r="K622" s="2"/>
      <c r="L622" s="2"/>
    </row>
    <row r="623" spans="1:12" x14ac:dyDescent="0.2">
      <c r="A623" s="2"/>
      <c r="B623" s="2"/>
      <c r="C623" s="2"/>
      <c r="D623" s="2"/>
      <c r="E623" s="2"/>
      <c r="F623" s="2"/>
      <c r="G623" s="2"/>
      <c r="H623" s="2"/>
      <c r="I623" s="2"/>
      <c r="J623" s="2"/>
      <c r="K623" s="2"/>
      <c r="L623" s="2"/>
    </row>
    <row r="624" spans="1:12" x14ac:dyDescent="0.2">
      <c r="A624" s="2"/>
      <c r="B624" s="2"/>
      <c r="C624" s="2"/>
      <c r="D624" s="2"/>
      <c r="E624" s="2"/>
      <c r="F624" s="2"/>
      <c r="G624" s="2"/>
      <c r="H624" s="2"/>
      <c r="I624" s="2"/>
      <c r="J624" s="2"/>
      <c r="K624" s="2"/>
      <c r="L624" s="2"/>
    </row>
    <row r="625" spans="1:12" x14ac:dyDescent="0.2">
      <c r="A625" s="2"/>
      <c r="B625" s="2"/>
      <c r="C625" s="2"/>
      <c r="D625" s="2"/>
      <c r="E625" s="2"/>
      <c r="F625" s="2"/>
      <c r="G625" s="2"/>
      <c r="H625" s="2"/>
      <c r="I625" s="2"/>
      <c r="J625" s="2"/>
      <c r="K625" s="2"/>
      <c r="L625" s="2"/>
    </row>
    <row r="626" spans="1:12" x14ac:dyDescent="0.2">
      <c r="A626" s="2"/>
      <c r="B626" s="2"/>
      <c r="C626" s="2"/>
      <c r="D626" s="2"/>
      <c r="E626" s="2"/>
      <c r="F626" s="2"/>
      <c r="G626" s="2"/>
      <c r="H626" s="2"/>
      <c r="I626" s="2"/>
      <c r="J626" s="2"/>
      <c r="K626" s="2"/>
      <c r="L626" s="2"/>
    </row>
    <row r="627" spans="1:12" x14ac:dyDescent="0.2">
      <c r="A627" s="2"/>
      <c r="B627" s="2"/>
      <c r="C627" s="2"/>
      <c r="D627" s="2"/>
      <c r="E627" s="2"/>
      <c r="F627" s="2"/>
      <c r="G627" s="2"/>
      <c r="H627" s="2"/>
      <c r="I627" s="2"/>
      <c r="J627" s="2"/>
      <c r="K627" s="2"/>
      <c r="L627" s="2"/>
    </row>
    <row r="628" spans="1:12" x14ac:dyDescent="0.2">
      <c r="A628" s="2"/>
      <c r="B628" s="2"/>
      <c r="C628" s="2"/>
      <c r="D628" s="2"/>
      <c r="E628" s="2"/>
      <c r="F628" s="2"/>
      <c r="G628" s="2"/>
      <c r="H628" s="2"/>
      <c r="I628" s="2"/>
      <c r="J628" s="2"/>
      <c r="K628" s="2"/>
      <c r="L628" s="2"/>
    </row>
    <row r="629" spans="1:12" x14ac:dyDescent="0.2">
      <c r="A629" s="2"/>
      <c r="B629" s="2"/>
      <c r="C629" s="2"/>
      <c r="D629" s="2"/>
      <c r="E629" s="2"/>
      <c r="F629" s="2"/>
      <c r="G629" s="2"/>
      <c r="H629" s="2"/>
      <c r="I629" s="2"/>
      <c r="J629" s="2"/>
      <c r="K629" s="2"/>
      <c r="L629" s="2"/>
    </row>
    <row r="630" spans="1:12" x14ac:dyDescent="0.2">
      <c r="A630" s="2"/>
      <c r="B630" s="2"/>
      <c r="C630" s="2"/>
      <c r="D630" s="2"/>
      <c r="E630" s="2"/>
      <c r="F630" s="2"/>
      <c r="G630" s="2"/>
      <c r="H630" s="2"/>
      <c r="I630" s="2"/>
      <c r="J630" s="2"/>
      <c r="K630" s="2"/>
      <c r="L630" s="2"/>
    </row>
    <row r="631" spans="1:12" x14ac:dyDescent="0.2">
      <c r="A631" s="2"/>
      <c r="B631" s="2"/>
      <c r="C631" s="2"/>
      <c r="D631" s="2"/>
      <c r="E631" s="2"/>
      <c r="F631" s="2"/>
      <c r="G631" s="2"/>
      <c r="H631" s="2"/>
      <c r="I631" s="2"/>
      <c r="J631" s="2"/>
      <c r="K631" s="2"/>
      <c r="L631" s="2"/>
    </row>
    <row r="632" spans="1:12" x14ac:dyDescent="0.2">
      <c r="A632" s="2"/>
      <c r="B632" s="2"/>
      <c r="C632" s="2"/>
      <c r="D632" s="2"/>
      <c r="E632" s="2"/>
      <c r="F632" s="2"/>
      <c r="G632" s="2"/>
      <c r="H632" s="2"/>
      <c r="I632" s="2"/>
      <c r="J632" s="2"/>
      <c r="K632" s="2"/>
      <c r="L632" s="2"/>
    </row>
    <row r="633" spans="1:12" x14ac:dyDescent="0.2">
      <c r="A633" s="2"/>
      <c r="B633" s="2"/>
      <c r="C633" s="2"/>
      <c r="D633" s="2"/>
      <c r="E633" s="2"/>
      <c r="F633" s="2"/>
      <c r="G633" s="2"/>
      <c r="H633" s="2"/>
      <c r="I633" s="2"/>
      <c r="J633" s="2"/>
      <c r="K633" s="2"/>
      <c r="L633" s="2"/>
    </row>
    <row r="634" spans="1:12" x14ac:dyDescent="0.2">
      <c r="A634" s="2"/>
      <c r="B634" s="2"/>
      <c r="C634" s="2"/>
      <c r="D634" s="2"/>
      <c r="E634" s="2"/>
      <c r="F634" s="2"/>
      <c r="G634" s="2"/>
      <c r="H634" s="2"/>
      <c r="I634" s="2"/>
      <c r="J634" s="2"/>
      <c r="K634" s="2"/>
      <c r="L634" s="2"/>
    </row>
    <row r="635" spans="1:12" x14ac:dyDescent="0.2">
      <c r="A635" s="2"/>
      <c r="B635" s="2"/>
      <c r="C635" s="2"/>
      <c r="D635" s="2"/>
      <c r="E635" s="2"/>
      <c r="F635" s="2"/>
      <c r="G635" s="2"/>
      <c r="H635" s="2"/>
      <c r="I635" s="2"/>
      <c r="J635" s="2"/>
      <c r="K635" s="2"/>
      <c r="L635" s="2"/>
    </row>
    <row r="636" spans="1:12" x14ac:dyDescent="0.2">
      <c r="A636" s="2"/>
      <c r="B636" s="2"/>
      <c r="C636" s="2"/>
      <c r="D636" s="2"/>
      <c r="E636" s="2"/>
      <c r="F636" s="2"/>
      <c r="G636" s="2"/>
      <c r="H636" s="2"/>
      <c r="I636" s="2"/>
      <c r="J636" s="2"/>
      <c r="K636" s="2"/>
      <c r="L636" s="2"/>
    </row>
    <row r="637" spans="1:12" x14ac:dyDescent="0.2">
      <c r="A637" s="2"/>
      <c r="B637" s="2"/>
      <c r="C637" s="2"/>
      <c r="D637" s="2"/>
      <c r="E637" s="2"/>
      <c r="F637" s="2"/>
      <c r="G637" s="2"/>
      <c r="H637" s="2"/>
      <c r="I637" s="2"/>
      <c r="J637" s="2"/>
      <c r="K637" s="2"/>
      <c r="L637" s="2"/>
    </row>
    <row r="638" spans="1:12" x14ac:dyDescent="0.2">
      <c r="A638" s="2"/>
      <c r="B638" s="2"/>
      <c r="C638" s="2"/>
      <c r="D638" s="2"/>
      <c r="E638" s="2"/>
      <c r="F638" s="2"/>
      <c r="G638" s="2"/>
      <c r="H638" s="2"/>
      <c r="I638" s="2"/>
      <c r="J638" s="2"/>
      <c r="K638" s="2"/>
      <c r="L638" s="2"/>
    </row>
    <row r="639" spans="1:12" x14ac:dyDescent="0.2">
      <c r="A639" s="2"/>
      <c r="B639" s="2"/>
      <c r="C639" s="2"/>
      <c r="D639" s="2"/>
      <c r="E639" s="2"/>
      <c r="F639" s="2"/>
      <c r="G639" s="2"/>
      <c r="H639" s="2"/>
      <c r="I639" s="2"/>
      <c r="J639" s="2"/>
      <c r="K639" s="2"/>
      <c r="L639" s="2"/>
    </row>
    <row r="640" spans="1:12" x14ac:dyDescent="0.2">
      <c r="A640" s="2"/>
      <c r="B640" s="2"/>
      <c r="C640" s="2"/>
      <c r="D640" s="2"/>
      <c r="E640" s="2"/>
      <c r="F640" s="2"/>
      <c r="G640" s="2"/>
      <c r="H640" s="2"/>
      <c r="I640" s="2"/>
      <c r="J640" s="2"/>
      <c r="K640" s="2"/>
      <c r="L640" s="2"/>
    </row>
    <row r="641" spans="1:12" x14ac:dyDescent="0.2">
      <c r="A641" s="2"/>
      <c r="B641" s="2"/>
      <c r="C641" s="2"/>
      <c r="D641" s="2"/>
      <c r="E641" s="2"/>
      <c r="F641" s="2"/>
      <c r="G641" s="2"/>
      <c r="H641" s="2"/>
      <c r="I641" s="2"/>
      <c r="J641" s="2"/>
      <c r="K641" s="2"/>
      <c r="L641" s="2"/>
    </row>
    <row r="642" spans="1:12" x14ac:dyDescent="0.2">
      <c r="A642" s="2"/>
      <c r="B642" s="2"/>
      <c r="C642" s="2"/>
      <c r="D642" s="2"/>
      <c r="E642" s="2"/>
      <c r="F642" s="2"/>
      <c r="G642" s="2"/>
      <c r="H642" s="2"/>
      <c r="I642" s="2"/>
      <c r="J642" s="2"/>
      <c r="K642" s="2"/>
      <c r="L642" s="2"/>
    </row>
    <row r="643" spans="1:12" x14ac:dyDescent="0.2">
      <c r="A643" s="2"/>
      <c r="B643" s="2"/>
      <c r="C643" s="2"/>
      <c r="D643" s="2"/>
      <c r="E643" s="2"/>
      <c r="F643" s="2"/>
      <c r="G643" s="2"/>
      <c r="H643" s="2"/>
      <c r="I643" s="2"/>
      <c r="J643" s="2"/>
      <c r="K643" s="2"/>
      <c r="L643" s="2"/>
    </row>
    <row r="644" spans="1:12" x14ac:dyDescent="0.2">
      <c r="A644" s="2"/>
      <c r="B644" s="2"/>
      <c r="C644" s="2"/>
      <c r="D644" s="2"/>
      <c r="E644" s="2"/>
      <c r="F644" s="2"/>
      <c r="G644" s="2"/>
      <c r="H644" s="2"/>
      <c r="I644" s="2"/>
      <c r="J644" s="2"/>
      <c r="K644" s="2"/>
      <c r="L644" s="2"/>
    </row>
    <row r="645" spans="1:12" x14ac:dyDescent="0.2">
      <c r="A645" s="2"/>
      <c r="B645" s="2"/>
      <c r="C645" s="2"/>
      <c r="D645" s="2"/>
      <c r="E645" s="2"/>
      <c r="F645" s="2"/>
      <c r="G645" s="2"/>
      <c r="H645" s="2"/>
      <c r="I645" s="2"/>
      <c r="J645" s="2"/>
      <c r="K645" s="2"/>
      <c r="L645" s="2"/>
    </row>
    <row r="646" spans="1:12" x14ac:dyDescent="0.2">
      <c r="A646" s="2"/>
      <c r="B646" s="2"/>
      <c r="C646" s="2"/>
      <c r="D646" s="2"/>
      <c r="E646" s="2"/>
      <c r="F646" s="2"/>
      <c r="G646" s="2"/>
      <c r="H646" s="2"/>
      <c r="I646" s="2"/>
      <c r="J646" s="2"/>
      <c r="K646" s="2"/>
      <c r="L646" s="2"/>
    </row>
    <row r="647" spans="1:12" x14ac:dyDescent="0.2">
      <c r="A647" s="2"/>
      <c r="B647" s="2"/>
      <c r="C647" s="2"/>
      <c r="D647" s="2"/>
      <c r="E647" s="2"/>
      <c r="F647" s="2"/>
      <c r="G647" s="2"/>
      <c r="H647" s="2"/>
      <c r="I647" s="2"/>
      <c r="J647" s="2"/>
      <c r="K647" s="2"/>
      <c r="L647" s="2"/>
    </row>
    <row r="648" spans="1:12" x14ac:dyDescent="0.2">
      <c r="A648" s="2"/>
      <c r="B648" s="2"/>
      <c r="C648" s="2"/>
      <c r="D648" s="2"/>
      <c r="E648" s="2"/>
      <c r="F648" s="2"/>
      <c r="G648" s="2"/>
      <c r="H648" s="2"/>
      <c r="I648" s="2"/>
      <c r="J648" s="2"/>
      <c r="K648" s="2"/>
      <c r="L648" s="2"/>
    </row>
    <row r="649" spans="1:12" x14ac:dyDescent="0.2">
      <c r="A649" s="2"/>
      <c r="B649" s="2"/>
      <c r="C649" s="2"/>
      <c r="D649" s="2"/>
      <c r="E649" s="2"/>
      <c r="F649" s="2"/>
      <c r="G649" s="2"/>
      <c r="H649" s="2"/>
      <c r="I649" s="2"/>
      <c r="J649" s="2"/>
      <c r="K649" s="2"/>
      <c r="L649" s="2"/>
    </row>
    <row r="650" spans="1:12" x14ac:dyDescent="0.2">
      <c r="A650" s="2"/>
      <c r="B650" s="2"/>
      <c r="C650" s="2"/>
      <c r="D650" s="2"/>
      <c r="E650" s="2"/>
      <c r="F650" s="2"/>
      <c r="G650" s="2"/>
      <c r="H650" s="2"/>
      <c r="I650" s="2"/>
      <c r="J650" s="2"/>
      <c r="K650" s="2"/>
      <c r="L650" s="2"/>
    </row>
    <row r="651" spans="1:12" x14ac:dyDescent="0.2">
      <c r="A651" s="2"/>
      <c r="B651" s="2"/>
      <c r="C651" s="2"/>
      <c r="D651" s="2"/>
      <c r="E651" s="2"/>
      <c r="F651" s="2"/>
      <c r="G651" s="2"/>
      <c r="H651" s="2"/>
      <c r="I651" s="2"/>
      <c r="J651" s="2"/>
      <c r="K651" s="2"/>
      <c r="L651" s="2"/>
    </row>
    <row r="652" spans="1:12" x14ac:dyDescent="0.2">
      <c r="A652" s="2"/>
      <c r="B652" s="2"/>
      <c r="C652" s="2"/>
      <c r="D652" s="2"/>
      <c r="E652" s="2"/>
      <c r="F652" s="2"/>
      <c r="G652" s="2"/>
      <c r="H652" s="2"/>
      <c r="I652" s="2"/>
      <c r="J652" s="2"/>
      <c r="K652" s="2"/>
      <c r="L652" s="2"/>
    </row>
    <row r="653" spans="1:12" x14ac:dyDescent="0.2">
      <c r="A653" s="2"/>
      <c r="B653" s="2"/>
      <c r="C653" s="2"/>
      <c r="D653" s="2"/>
      <c r="E653" s="2"/>
      <c r="F653" s="2"/>
      <c r="G653" s="2"/>
      <c r="H653" s="2"/>
      <c r="I653" s="2"/>
      <c r="J653" s="2"/>
      <c r="K653" s="2"/>
      <c r="L653" s="2"/>
    </row>
    <row r="654" spans="1:12" x14ac:dyDescent="0.2">
      <c r="A654" s="2"/>
      <c r="B654" s="2"/>
      <c r="C654" s="2"/>
      <c r="D654" s="2"/>
      <c r="E654" s="2"/>
      <c r="F654" s="2"/>
      <c r="G654" s="2"/>
      <c r="H654" s="2"/>
      <c r="I654" s="2"/>
      <c r="J654" s="2"/>
      <c r="K654" s="2"/>
      <c r="L654" s="2"/>
    </row>
    <row r="655" spans="1:12" x14ac:dyDescent="0.2">
      <c r="A655" s="2"/>
      <c r="B655" s="2"/>
      <c r="C655" s="2"/>
      <c r="D655" s="2"/>
      <c r="E655" s="2"/>
      <c r="F655" s="2"/>
      <c r="G655" s="2"/>
      <c r="H655" s="2"/>
      <c r="I655" s="2"/>
      <c r="J655" s="2"/>
      <c r="K655" s="2"/>
      <c r="L655" s="2"/>
    </row>
    <row r="656" spans="1:12" x14ac:dyDescent="0.2">
      <c r="A656" s="2"/>
      <c r="B656" s="2"/>
      <c r="C656" s="2"/>
      <c r="D656" s="2"/>
      <c r="E656" s="2"/>
      <c r="F656" s="2"/>
      <c r="G656" s="2"/>
      <c r="H656" s="2"/>
      <c r="I656" s="2"/>
      <c r="J656" s="2"/>
      <c r="K656" s="2"/>
      <c r="L656" s="2"/>
    </row>
    <row r="657" spans="1:12" x14ac:dyDescent="0.2">
      <c r="A657" s="2"/>
      <c r="B657" s="2"/>
      <c r="C657" s="2"/>
      <c r="D657" s="2"/>
      <c r="E657" s="2"/>
      <c r="F657" s="2"/>
      <c r="G657" s="2"/>
      <c r="H657" s="2"/>
      <c r="I657" s="2"/>
      <c r="J657" s="2"/>
      <c r="K657" s="2"/>
      <c r="L657" s="2"/>
    </row>
    <row r="658" spans="1:12" x14ac:dyDescent="0.2">
      <c r="A658" s="2"/>
      <c r="B658" s="2"/>
      <c r="C658" s="2"/>
      <c r="D658" s="2"/>
      <c r="E658" s="2"/>
      <c r="F658" s="2"/>
      <c r="G658" s="2"/>
      <c r="H658" s="2"/>
      <c r="I658" s="2"/>
      <c r="J658" s="2"/>
      <c r="K658" s="2"/>
      <c r="L658" s="2"/>
    </row>
    <row r="659" spans="1:12" x14ac:dyDescent="0.2">
      <c r="A659" s="2"/>
      <c r="B659" s="2"/>
      <c r="C659" s="2"/>
      <c r="D659" s="2"/>
      <c r="E659" s="2"/>
      <c r="F659" s="2"/>
      <c r="G659" s="2"/>
      <c r="H659" s="2"/>
      <c r="I659" s="2"/>
      <c r="J659" s="2"/>
      <c r="K659" s="2"/>
      <c r="L659" s="2"/>
    </row>
    <row r="660" spans="1:12" x14ac:dyDescent="0.2">
      <c r="A660" s="2"/>
      <c r="B660" s="2"/>
      <c r="C660" s="2"/>
      <c r="D660" s="2"/>
      <c r="E660" s="2"/>
      <c r="F660" s="2"/>
      <c r="G660" s="2"/>
      <c r="H660" s="2"/>
      <c r="I660" s="2"/>
      <c r="J660" s="2"/>
      <c r="K660" s="2"/>
      <c r="L660" s="2"/>
    </row>
    <row r="661" spans="1:12" x14ac:dyDescent="0.2">
      <c r="A661" s="2"/>
      <c r="B661" s="2"/>
      <c r="C661" s="2"/>
      <c r="D661" s="2"/>
      <c r="E661" s="2"/>
      <c r="F661" s="2"/>
      <c r="G661" s="2"/>
      <c r="H661" s="2"/>
      <c r="I661" s="2"/>
      <c r="J661" s="2"/>
      <c r="K661" s="2"/>
      <c r="L661" s="2"/>
    </row>
    <row r="662" spans="1:12" x14ac:dyDescent="0.2">
      <c r="A662" s="2"/>
      <c r="B662" s="2"/>
      <c r="C662" s="2"/>
      <c r="D662" s="2"/>
      <c r="E662" s="2"/>
      <c r="F662" s="2"/>
      <c r="G662" s="2"/>
      <c r="H662" s="2"/>
      <c r="I662" s="2"/>
      <c r="J662" s="2"/>
      <c r="K662" s="2"/>
      <c r="L662" s="2"/>
    </row>
    <row r="663" spans="1:12" x14ac:dyDescent="0.2">
      <c r="A663" s="2"/>
      <c r="B663" s="2"/>
      <c r="C663" s="2"/>
      <c r="D663" s="2"/>
      <c r="E663" s="2"/>
      <c r="F663" s="2"/>
      <c r="G663" s="2"/>
      <c r="H663" s="2"/>
      <c r="I663" s="2"/>
      <c r="J663" s="2"/>
      <c r="K663" s="2"/>
      <c r="L663" s="2"/>
    </row>
    <row r="664" spans="1:12" x14ac:dyDescent="0.2">
      <c r="A664" s="2"/>
      <c r="B664" s="2"/>
      <c r="C664" s="2"/>
      <c r="D664" s="2"/>
      <c r="E664" s="2"/>
      <c r="F664" s="2"/>
      <c r="G664" s="2"/>
      <c r="H664" s="2"/>
      <c r="I664" s="2"/>
      <c r="J664" s="2"/>
      <c r="K664" s="2"/>
      <c r="L664" s="2"/>
    </row>
    <row r="665" spans="1:12" x14ac:dyDescent="0.2">
      <c r="A665" s="2"/>
      <c r="B665" s="2"/>
      <c r="C665" s="2"/>
      <c r="D665" s="2"/>
      <c r="E665" s="2"/>
      <c r="F665" s="2"/>
      <c r="G665" s="2"/>
      <c r="H665" s="2"/>
      <c r="I665" s="2"/>
      <c r="J665" s="2"/>
      <c r="K665" s="2"/>
      <c r="L665" s="2"/>
    </row>
    <row r="666" spans="1:12" x14ac:dyDescent="0.2">
      <c r="A666" s="2"/>
      <c r="B666" s="2"/>
      <c r="C666" s="2"/>
      <c r="D666" s="2"/>
      <c r="E666" s="2"/>
      <c r="F666" s="2"/>
      <c r="G666" s="2"/>
      <c r="H666" s="2"/>
      <c r="I666" s="2"/>
      <c r="J666" s="2"/>
      <c r="K666" s="2"/>
      <c r="L666" s="2"/>
    </row>
    <row r="667" spans="1:12" x14ac:dyDescent="0.2">
      <c r="A667" s="2"/>
      <c r="B667" s="2"/>
      <c r="C667" s="2"/>
      <c r="D667" s="2"/>
      <c r="E667" s="2"/>
      <c r="F667" s="2"/>
      <c r="G667" s="2"/>
      <c r="H667" s="2"/>
      <c r="I667" s="2"/>
      <c r="J667" s="2"/>
      <c r="K667" s="2"/>
      <c r="L667" s="2"/>
    </row>
    <row r="668" spans="1:12" x14ac:dyDescent="0.2">
      <c r="A668" s="2"/>
      <c r="B668" s="2"/>
      <c r="C668" s="2"/>
      <c r="D668" s="2"/>
      <c r="E668" s="2"/>
      <c r="F668" s="2"/>
      <c r="G668" s="2"/>
      <c r="H668" s="2"/>
      <c r="I668" s="2"/>
      <c r="J668" s="2"/>
      <c r="K668" s="2"/>
      <c r="L668" s="2"/>
    </row>
    <row r="669" spans="1:12" x14ac:dyDescent="0.2">
      <c r="A669" s="2"/>
      <c r="B669" s="2"/>
      <c r="C669" s="2"/>
      <c r="D669" s="2"/>
      <c r="E669" s="2"/>
      <c r="F669" s="2"/>
      <c r="G669" s="2"/>
      <c r="H669" s="2"/>
      <c r="I669" s="2"/>
      <c r="J669" s="2"/>
      <c r="K669" s="2"/>
      <c r="L669" s="2"/>
    </row>
    <row r="670" spans="1:12" x14ac:dyDescent="0.2">
      <c r="A670" s="2"/>
      <c r="B670" s="2"/>
      <c r="C670" s="2"/>
      <c r="D670" s="2"/>
      <c r="E670" s="2"/>
      <c r="F670" s="2"/>
      <c r="G670" s="2"/>
      <c r="H670" s="2"/>
      <c r="I670" s="2"/>
      <c r="J670" s="2"/>
      <c r="K670" s="2"/>
      <c r="L670" s="2"/>
    </row>
    <row r="671" spans="1:12" x14ac:dyDescent="0.2">
      <c r="A671" s="2"/>
      <c r="B671" s="2"/>
      <c r="C671" s="2"/>
      <c r="D671" s="2"/>
      <c r="E671" s="2"/>
      <c r="F671" s="2"/>
      <c r="G671" s="2"/>
      <c r="H671" s="2"/>
      <c r="I671" s="2"/>
      <c r="J671" s="2"/>
      <c r="K671" s="2"/>
      <c r="L671" s="2"/>
    </row>
    <row r="672" spans="1:12" x14ac:dyDescent="0.2">
      <c r="A672" s="2"/>
      <c r="B672" s="2"/>
      <c r="C672" s="2"/>
      <c r="D672" s="2"/>
      <c r="E672" s="2"/>
      <c r="F672" s="2"/>
      <c r="G672" s="2"/>
      <c r="H672" s="2"/>
      <c r="I672" s="2"/>
      <c r="J672" s="2"/>
      <c r="K672" s="2"/>
      <c r="L672" s="2"/>
    </row>
    <row r="673" spans="1:12" x14ac:dyDescent="0.2">
      <c r="A673" s="2"/>
      <c r="B673" s="2"/>
      <c r="C673" s="2"/>
      <c r="D673" s="2"/>
      <c r="E673" s="2"/>
      <c r="F673" s="2"/>
      <c r="G673" s="2"/>
      <c r="H673" s="2"/>
      <c r="I673" s="2"/>
      <c r="J673" s="2"/>
      <c r="K673" s="2"/>
      <c r="L673" s="2"/>
    </row>
    <row r="674" spans="1:12" x14ac:dyDescent="0.2">
      <c r="A674" s="2"/>
      <c r="B674" s="2"/>
      <c r="C674" s="2"/>
      <c r="D674" s="2"/>
      <c r="E674" s="2"/>
      <c r="F674" s="2"/>
      <c r="G674" s="2"/>
      <c r="H674" s="2"/>
      <c r="I674" s="2"/>
      <c r="J674" s="2"/>
      <c r="K674" s="2"/>
      <c r="L674" s="2"/>
    </row>
    <row r="675" spans="1:12" x14ac:dyDescent="0.2">
      <c r="A675" s="2"/>
      <c r="B675" s="2"/>
      <c r="C675" s="2"/>
      <c r="D675" s="2"/>
      <c r="E675" s="2"/>
      <c r="F675" s="2"/>
      <c r="G675" s="2"/>
      <c r="H675" s="2"/>
      <c r="I675" s="2"/>
      <c r="J675" s="2"/>
      <c r="K675" s="2"/>
      <c r="L675" s="2"/>
    </row>
    <row r="676" spans="1:12" x14ac:dyDescent="0.2">
      <c r="A676" s="2"/>
      <c r="B676" s="2"/>
      <c r="C676" s="2"/>
      <c r="D676" s="2"/>
      <c r="E676" s="2"/>
      <c r="F676" s="2"/>
      <c r="G676" s="2"/>
      <c r="H676" s="2"/>
      <c r="I676" s="2"/>
      <c r="J676" s="2"/>
      <c r="K676" s="2"/>
      <c r="L676" s="2"/>
    </row>
    <row r="677" spans="1:12" x14ac:dyDescent="0.2">
      <c r="A677" s="2"/>
      <c r="B677" s="2"/>
      <c r="C677" s="2"/>
      <c r="D677" s="2"/>
      <c r="E677" s="2"/>
      <c r="F677" s="2"/>
      <c r="G677" s="2"/>
      <c r="H677" s="2"/>
      <c r="I677" s="2"/>
      <c r="J677" s="2"/>
      <c r="K677" s="2"/>
      <c r="L677" s="2"/>
    </row>
    <row r="678" spans="1:12" x14ac:dyDescent="0.2">
      <c r="A678" s="2"/>
      <c r="B678" s="2"/>
      <c r="C678" s="2"/>
      <c r="D678" s="2"/>
      <c r="E678" s="2"/>
      <c r="F678" s="2"/>
      <c r="G678" s="2"/>
      <c r="H678" s="2"/>
      <c r="I678" s="2"/>
      <c r="J678" s="2"/>
      <c r="K678" s="2"/>
      <c r="L678" s="2"/>
    </row>
    <row r="679" spans="1:12" x14ac:dyDescent="0.2">
      <c r="A679" s="2"/>
      <c r="B679" s="2"/>
      <c r="C679" s="2"/>
      <c r="D679" s="2"/>
      <c r="E679" s="2"/>
      <c r="F679" s="2"/>
      <c r="G679" s="2"/>
      <c r="H679" s="2"/>
      <c r="I679" s="2"/>
      <c r="J679" s="2"/>
      <c r="K679" s="2"/>
      <c r="L679" s="2"/>
    </row>
    <row r="680" spans="1:12" x14ac:dyDescent="0.2">
      <c r="A680" s="2"/>
      <c r="B680" s="2"/>
      <c r="C680" s="2"/>
      <c r="D680" s="2"/>
      <c r="E680" s="2"/>
      <c r="F680" s="2"/>
      <c r="G680" s="2"/>
      <c r="H680" s="2"/>
      <c r="I680" s="2"/>
      <c r="J680" s="2"/>
      <c r="K680" s="2"/>
      <c r="L680" s="2"/>
    </row>
    <row r="681" spans="1:12" x14ac:dyDescent="0.2">
      <c r="A681" s="2"/>
      <c r="B681" s="2"/>
      <c r="C681" s="2"/>
      <c r="D681" s="2"/>
      <c r="E681" s="2"/>
      <c r="F681" s="2"/>
      <c r="G681" s="2"/>
      <c r="H681" s="2"/>
      <c r="I681" s="2"/>
      <c r="J681" s="2"/>
      <c r="K681" s="2"/>
      <c r="L681" s="2"/>
    </row>
    <row r="682" spans="1:12" x14ac:dyDescent="0.2">
      <c r="A682" s="2"/>
      <c r="B682" s="2"/>
      <c r="C682" s="2"/>
      <c r="D682" s="2"/>
      <c r="E682" s="2"/>
      <c r="F682" s="2"/>
      <c r="G682" s="2"/>
      <c r="H682" s="2"/>
      <c r="I682" s="2"/>
      <c r="J682" s="2"/>
      <c r="K682" s="2"/>
      <c r="L682" s="2"/>
    </row>
    <row r="683" spans="1:12" x14ac:dyDescent="0.2">
      <c r="A683" s="2"/>
      <c r="B683" s="2"/>
      <c r="C683" s="2"/>
      <c r="D683" s="2"/>
      <c r="E683" s="2"/>
      <c r="F683" s="2"/>
      <c r="G683" s="2"/>
      <c r="H683" s="2"/>
      <c r="I683" s="2"/>
      <c r="J683" s="2"/>
      <c r="K683" s="2"/>
      <c r="L683" s="2"/>
    </row>
    <row r="684" spans="1:12" x14ac:dyDescent="0.2">
      <c r="A684" s="2"/>
      <c r="B684" s="2"/>
      <c r="C684" s="2"/>
      <c r="D684" s="2"/>
      <c r="E684" s="2"/>
      <c r="F684" s="2"/>
      <c r="G684" s="2"/>
      <c r="H684" s="2"/>
      <c r="I684" s="2"/>
      <c r="J684" s="2"/>
      <c r="K684" s="2"/>
      <c r="L684" s="2"/>
    </row>
    <row r="685" spans="1:12" x14ac:dyDescent="0.2">
      <c r="A685" s="2"/>
      <c r="B685" s="2"/>
      <c r="C685" s="2"/>
      <c r="D685" s="2"/>
      <c r="E685" s="2"/>
      <c r="F685" s="2"/>
      <c r="G685" s="2"/>
      <c r="H685" s="2"/>
      <c r="I685" s="2"/>
      <c r="J685" s="2"/>
      <c r="K685" s="2"/>
      <c r="L685" s="2"/>
    </row>
    <row r="686" spans="1:12" x14ac:dyDescent="0.2">
      <c r="A686" s="2"/>
      <c r="B686" s="2"/>
      <c r="C686" s="2"/>
      <c r="D686" s="2"/>
      <c r="E686" s="2"/>
      <c r="F686" s="2"/>
      <c r="G686" s="2"/>
      <c r="H686" s="2"/>
      <c r="I686" s="2"/>
      <c r="J686" s="2"/>
      <c r="K686" s="2"/>
      <c r="L686" s="2"/>
    </row>
    <row r="687" spans="1:12" x14ac:dyDescent="0.2">
      <c r="A687" s="2"/>
      <c r="B687" s="2"/>
      <c r="C687" s="2"/>
      <c r="D687" s="2"/>
      <c r="E687" s="2"/>
      <c r="F687" s="2"/>
      <c r="G687" s="2"/>
      <c r="H687" s="2"/>
      <c r="I687" s="2"/>
      <c r="J687" s="2"/>
      <c r="K687" s="2"/>
      <c r="L687" s="2"/>
    </row>
    <row r="688" spans="1:12" x14ac:dyDescent="0.2">
      <c r="A688" s="2"/>
      <c r="B688" s="2"/>
      <c r="C688" s="2"/>
      <c r="D688" s="2"/>
      <c r="E688" s="2"/>
      <c r="F688" s="2"/>
      <c r="G688" s="2"/>
      <c r="H688" s="2"/>
      <c r="I688" s="2"/>
      <c r="J688" s="2"/>
      <c r="K688" s="2"/>
      <c r="L688" s="2"/>
    </row>
    <row r="689" spans="1:12" x14ac:dyDescent="0.2">
      <c r="A689" s="2"/>
      <c r="B689" s="2"/>
      <c r="C689" s="2"/>
      <c r="D689" s="2"/>
      <c r="E689" s="2"/>
      <c r="F689" s="2"/>
      <c r="G689" s="2"/>
      <c r="H689" s="2"/>
      <c r="I689" s="2"/>
      <c r="J689" s="2"/>
      <c r="K689" s="2"/>
      <c r="L689" s="2"/>
    </row>
    <row r="690" spans="1:12" x14ac:dyDescent="0.2">
      <c r="A690" s="2"/>
      <c r="B690" s="2"/>
      <c r="C690" s="2"/>
      <c r="D690" s="2"/>
      <c r="E690" s="2"/>
      <c r="F690" s="2"/>
      <c r="G690" s="2"/>
      <c r="H690" s="2"/>
      <c r="I690" s="2"/>
      <c r="J690" s="2"/>
      <c r="K690" s="2"/>
      <c r="L690" s="2"/>
    </row>
    <row r="691" spans="1:12" x14ac:dyDescent="0.2">
      <c r="A691" s="2"/>
      <c r="B691" s="2"/>
      <c r="C691" s="2"/>
      <c r="D691" s="2"/>
      <c r="E691" s="2"/>
      <c r="F691" s="2"/>
      <c r="G691" s="2"/>
      <c r="H691" s="2"/>
      <c r="I691" s="2"/>
      <c r="J691" s="2"/>
      <c r="K691" s="2"/>
      <c r="L691" s="2"/>
    </row>
    <row r="692" spans="1:12" x14ac:dyDescent="0.2">
      <c r="A692" s="2"/>
      <c r="B692" s="2"/>
      <c r="C692" s="2"/>
      <c r="D692" s="2"/>
      <c r="E692" s="2"/>
      <c r="F692" s="2"/>
      <c r="G692" s="2"/>
      <c r="H692" s="2"/>
      <c r="I692" s="2"/>
      <c r="J692" s="2"/>
      <c r="K692" s="2"/>
      <c r="L692" s="2"/>
    </row>
    <row r="693" spans="1:12" x14ac:dyDescent="0.2">
      <c r="A693" s="2"/>
      <c r="B693" s="2"/>
      <c r="C693" s="2"/>
      <c r="D693" s="2"/>
      <c r="E693" s="2"/>
      <c r="F693" s="2"/>
      <c r="G693" s="2"/>
      <c r="H693" s="2"/>
      <c r="I693" s="2"/>
      <c r="J693" s="2"/>
      <c r="K693" s="2"/>
      <c r="L693" s="2"/>
    </row>
    <row r="694" spans="1:12" x14ac:dyDescent="0.2">
      <c r="A694" s="2"/>
      <c r="B694" s="2"/>
      <c r="C694" s="2"/>
      <c r="D694" s="2"/>
      <c r="E694" s="2"/>
      <c r="F694" s="2"/>
      <c r="G694" s="2"/>
      <c r="H694" s="2"/>
      <c r="I694" s="2"/>
      <c r="J694" s="2"/>
      <c r="K694" s="2"/>
      <c r="L694" s="2"/>
    </row>
    <row r="695" spans="1:12" x14ac:dyDescent="0.2">
      <c r="A695" s="2"/>
      <c r="B695" s="2"/>
      <c r="C695" s="2"/>
      <c r="D695" s="2"/>
      <c r="E695" s="2"/>
      <c r="F695" s="2"/>
      <c r="G695" s="2"/>
      <c r="H695" s="2"/>
      <c r="I695" s="2"/>
      <c r="J695" s="2"/>
      <c r="K695" s="2"/>
      <c r="L695" s="2"/>
    </row>
    <row r="696" spans="1:12" x14ac:dyDescent="0.2">
      <c r="A696" s="2"/>
      <c r="B696" s="2"/>
      <c r="C696" s="2"/>
      <c r="D696" s="2"/>
      <c r="E696" s="2"/>
      <c r="F696" s="2"/>
      <c r="G696" s="2"/>
      <c r="H696" s="2"/>
      <c r="I696" s="2"/>
      <c r="J696" s="2"/>
      <c r="K696" s="2"/>
      <c r="L696" s="2"/>
    </row>
    <row r="697" spans="1:12" x14ac:dyDescent="0.2">
      <c r="A697" s="2"/>
      <c r="B697" s="2"/>
      <c r="C697" s="2"/>
      <c r="D697" s="2"/>
      <c r="E697" s="2"/>
      <c r="F697" s="2"/>
      <c r="G697" s="2"/>
      <c r="H697" s="2"/>
      <c r="I697" s="2"/>
      <c r="J697" s="2"/>
      <c r="K697" s="2"/>
      <c r="L697" s="2"/>
    </row>
    <row r="698" spans="1:12" x14ac:dyDescent="0.2">
      <c r="A698" s="2"/>
      <c r="B698" s="2"/>
      <c r="C698" s="2"/>
      <c r="D698" s="2"/>
      <c r="E698" s="2"/>
      <c r="F698" s="2"/>
      <c r="G698" s="2"/>
      <c r="H698" s="2"/>
      <c r="I698" s="2"/>
      <c r="J698" s="2"/>
      <c r="K698" s="2"/>
      <c r="L698" s="2"/>
    </row>
    <row r="699" spans="1:12" x14ac:dyDescent="0.2">
      <c r="A699" s="2"/>
      <c r="B699" s="2"/>
      <c r="C699" s="2"/>
      <c r="D699" s="2"/>
      <c r="E699" s="2"/>
      <c r="F699" s="2"/>
      <c r="G699" s="2"/>
      <c r="H699" s="2"/>
      <c r="I699" s="2"/>
      <c r="J699" s="2"/>
      <c r="K699" s="2"/>
      <c r="L699" s="2"/>
    </row>
    <row r="700" spans="1:12" x14ac:dyDescent="0.2">
      <c r="A700" s="2"/>
      <c r="B700" s="2"/>
      <c r="C700" s="2"/>
      <c r="D700" s="2"/>
      <c r="E700" s="2"/>
      <c r="F700" s="2"/>
      <c r="G700" s="2"/>
      <c r="H700" s="2"/>
      <c r="I700" s="2"/>
      <c r="J700" s="2"/>
      <c r="K700" s="2"/>
      <c r="L700" s="2"/>
    </row>
    <row r="701" spans="1:12" x14ac:dyDescent="0.2">
      <c r="A701" s="2"/>
      <c r="B701" s="2"/>
      <c r="C701" s="2"/>
      <c r="D701" s="2"/>
      <c r="E701" s="2"/>
      <c r="F701" s="2"/>
      <c r="G701" s="2"/>
      <c r="H701" s="2"/>
      <c r="I701" s="2"/>
      <c r="J701" s="2"/>
      <c r="K701" s="2"/>
      <c r="L701" s="2"/>
    </row>
    <row r="702" spans="1:12" x14ac:dyDescent="0.2">
      <c r="A702" s="2"/>
      <c r="B702" s="2"/>
      <c r="C702" s="2"/>
      <c r="D702" s="2"/>
      <c r="E702" s="2"/>
      <c r="F702" s="2"/>
      <c r="G702" s="2"/>
      <c r="H702" s="2"/>
      <c r="I702" s="2"/>
      <c r="J702" s="2"/>
      <c r="K702" s="2"/>
      <c r="L702" s="2"/>
    </row>
    <row r="703" spans="1:12" x14ac:dyDescent="0.2">
      <c r="A703" s="2"/>
      <c r="B703" s="2"/>
      <c r="C703" s="2"/>
      <c r="D703" s="2"/>
      <c r="E703" s="2"/>
      <c r="F703" s="2"/>
      <c r="G703" s="2"/>
      <c r="H703" s="2"/>
      <c r="I703" s="2"/>
      <c r="J703" s="2"/>
      <c r="K703" s="2"/>
      <c r="L703" s="2"/>
    </row>
    <row r="704" spans="1:12" x14ac:dyDescent="0.2">
      <c r="A704" s="2"/>
      <c r="B704" s="2"/>
      <c r="C704" s="2"/>
      <c r="D704" s="2"/>
      <c r="E704" s="2"/>
      <c r="F704" s="2"/>
      <c r="G704" s="2"/>
      <c r="H704" s="2"/>
      <c r="I704" s="2"/>
      <c r="J704" s="2"/>
      <c r="K704" s="2"/>
      <c r="L704" s="2"/>
    </row>
    <row r="705" spans="1:12" x14ac:dyDescent="0.2">
      <c r="A705" s="2"/>
      <c r="B705" s="2"/>
      <c r="C705" s="2"/>
      <c r="D705" s="2"/>
      <c r="E705" s="2"/>
      <c r="F705" s="2"/>
      <c r="G705" s="2"/>
      <c r="H705" s="2"/>
      <c r="I705" s="2"/>
      <c r="J705" s="2"/>
      <c r="K705" s="2"/>
      <c r="L705" s="2"/>
    </row>
    <row r="706" spans="1:12" x14ac:dyDescent="0.2">
      <c r="A706" s="2"/>
      <c r="B706" s="2"/>
      <c r="C706" s="2"/>
      <c r="D706" s="2"/>
      <c r="E706" s="2"/>
      <c r="F706" s="2"/>
      <c r="G706" s="2"/>
      <c r="H706" s="2"/>
      <c r="I706" s="2"/>
      <c r="J706" s="2"/>
      <c r="K706" s="2"/>
      <c r="L706" s="2"/>
    </row>
    <row r="707" spans="1:12" x14ac:dyDescent="0.2">
      <c r="A707" s="2"/>
      <c r="B707" s="2"/>
      <c r="C707" s="2"/>
      <c r="D707" s="2"/>
      <c r="E707" s="2"/>
      <c r="F707" s="2"/>
      <c r="G707" s="2"/>
      <c r="H707" s="2"/>
      <c r="I707" s="2"/>
      <c r="J707" s="2"/>
      <c r="K707" s="2"/>
      <c r="L707" s="2"/>
    </row>
    <row r="708" spans="1:12" x14ac:dyDescent="0.2">
      <c r="A708" s="2"/>
      <c r="B708" s="2"/>
      <c r="C708" s="2"/>
      <c r="D708" s="2"/>
      <c r="E708" s="2"/>
      <c r="F708" s="2"/>
      <c r="G708" s="2"/>
      <c r="H708" s="2"/>
      <c r="I708" s="2"/>
      <c r="J708" s="2"/>
      <c r="K708" s="2"/>
      <c r="L708" s="2"/>
    </row>
    <row r="709" spans="1:12" x14ac:dyDescent="0.2">
      <c r="A709" s="2"/>
      <c r="B709" s="2"/>
      <c r="C709" s="2"/>
      <c r="D709" s="2"/>
      <c r="E709" s="2"/>
      <c r="F709" s="2"/>
      <c r="G709" s="2"/>
      <c r="H709" s="2"/>
      <c r="I709" s="2"/>
      <c r="J709" s="2"/>
      <c r="K709" s="2"/>
      <c r="L709" s="2"/>
    </row>
    <row r="710" spans="1:12" x14ac:dyDescent="0.2">
      <c r="A710" s="2"/>
      <c r="B710" s="2"/>
      <c r="C710" s="2"/>
      <c r="D710" s="2"/>
      <c r="E710" s="2"/>
      <c r="F710" s="2"/>
      <c r="G710" s="2"/>
      <c r="H710" s="2"/>
      <c r="I710" s="2"/>
      <c r="J710" s="2"/>
      <c r="K710" s="2"/>
      <c r="L710" s="2"/>
    </row>
    <row r="711" spans="1:12" x14ac:dyDescent="0.2">
      <c r="A711" s="2"/>
      <c r="B711" s="2"/>
      <c r="C711" s="2"/>
      <c r="D711" s="2"/>
      <c r="E711" s="2"/>
      <c r="F711" s="2"/>
      <c r="G711" s="2"/>
      <c r="H711" s="2"/>
      <c r="I711" s="2"/>
      <c r="J711" s="2"/>
      <c r="K711" s="2"/>
      <c r="L711" s="2"/>
    </row>
    <row r="712" spans="1:12" x14ac:dyDescent="0.2">
      <c r="A712" s="2"/>
      <c r="B712" s="2"/>
      <c r="C712" s="2"/>
      <c r="D712" s="2"/>
      <c r="E712" s="2"/>
      <c r="F712" s="2"/>
      <c r="G712" s="2"/>
      <c r="H712" s="2"/>
      <c r="I712" s="2"/>
      <c r="J712" s="2"/>
      <c r="K712" s="2"/>
      <c r="L712" s="2"/>
    </row>
    <row r="713" spans="1:12" x14ac:dyDescent="0.2">
      <c r="A713" s="2"/>
      <c r="B713" s="2"/>
      <c r="C713" s="2"/>
      <c r="D713" s="2"/>
      <c r="E713" s="2"/>
      <c r="F713" s="2"/>
      <c r="G713" s="2"/>
      <c r="H713" s="2"/>
      <c r="I713" s="2"/>
      <c r="J713" s="2"/>
      <c r="K713" s="2"/>
      <c r="L713" s="2"/>
    </row>
    <row r="714" spans="1:12" x14ac:dyDescent="0.2">
      <c r="A714" s="2"/>
      <c r="B714" s="2"/>
      <c r="C714" s="2"/>
      <c r="D714" s="2"/>
      <c r="E714" s="2"/>
      <c r="F714" s="2"/>
      <c r="G714" s="2"/>
      <c r="H714" s="2"/>
      <c r="I714" s="2"/>
      <c r="J714" s="2"/>
      <c r="K714" s="2"/>
      <c r="L714" s="2"/>
    </row>
    <row r="715" spans="1:12" x14ac:dyDescent="0.2">
      <c r="A715" s="2"/>
      <c r="B715" s="2"/>
      <c r="C715" s="2"/>
      <c r="D715" s="2"/>
      <c r="E715" s="2"/>
      <c r="F715" s="2"/>
      <c r="G715" s="2"/>
      <c r="H715" s="2"/>
      <c r="I715" s="2"/>
      <c r="J715" s="2"/>
      <c r="K715" s="2"/>
      <c r="L715" s="2"/>
    </row>
    <row r="716" spans="1:12" x14ac:dyDescent="0.2">
      <c r="A716" s="2"/>
      <c r="B716" s="2"/>
      <c r="C716" s="2"/>
      <c r="D716" s="2"/>
      <c r="E716" s="2"/>
      <c r="F716" s="2"/>
      <c r="G716" s="2"/>
      <c r="H716" s="2"/>
      <c r="I716" s="2"/>
      <c r="J716" s="2"/>
      <c r="K716" s="2"/>
      <c r="L716" s="2"/>
    </row>
    <row r="717" spans="1:12" x14ac:dyDescent="0.2">
      <c r="A717" s="2"/>
      <c r="B717" s="2"/>
      <c r="C717" s="2"/>
      <c r="D717" s="2"/>
      <c r="E717" s="2"/>
      <c r="F717" s="2"/>
      <c r="G717" s="2"/>
      <c r="H717" s="2"/>
      <c r="I717" s="2"/>
      <c r="J717" s="2"/>
      <c r="K717" s="2"/>
      <c r="L717" s="2"/>
    </row>
    <row r="718" spans="1:12" x14ac:dyDescent="0.2">
      <c r="A718" s="2"/>
      <c r="B718" s="2"/>
      <c r="C718" s="2"/>
      <c r="D718" s="2"/>
      <c r="E718" s="2"/>
      <c r="F718" s="2"/>
      <c r="G718" s="2"/>
      <c r="H718" s="2"/>
      <c r="I718" s="2"/>
      <c r="J718" s="2"/>
      <c r="K718" s="2"/>
      <c r="L718" s="2"/>
    </row>
    <row r="719" spans="1:12" x14ac:dyDescent="0.2">
      <c r="A719" s="2"/>
      <c r="B719" s="2"/>
      <c r="C719" s="2"/>
      <c r="D719" s="2"/>
      <c r="E719" s="2"/>
      <c r="F719" s="2"/>
      <c r="G719" s="2"/>
      <c r="H719" s="2"/>
      <c r="I719" s="2"/>
      <c r="J719" s="2"/>
      <c r="K719" s="2"/>
      <c r="L719" s="2"/>
    </row>
    <row r="720" spans="1:12" x14ac:dyDescent="0.2">
      <c r="A720" s="2"/>
      <c r="B720" s="2"/>
      <c r="C720" s="2"/>
      <c r="D720" s="2"/>
      <c r="E720" s="2"/>
      <c r="F720" s="2"/>
      <c r="G720" s="2"/>
      <c r="H720" s="2"/>
      <c r="I720" s="2"/>
      <c r="J720" s="2"/>
      <c r="K720" s="2"/>
      <c r="L720" s="2"/>
    </row>
    <row r="721" spans="1:12" x14ac:dyDescent="0.2">
      <c r="A721" s="2"/>
      <c r="B721" s="2"/>
      <c r="C721" s="2"/>
      <c r="D721" s="2"/>
      <c r="E721" s="2"/>
      <c r="F721" s="2"/>
      <c r="G721" s="2"/>
      <c r="H721" s="2"/>
      <c r="I721" s="2"/>
      <c r="J721" s="2"/>
      <c r="K721" s="2"/>
      <c r="L721" s="2"/>
    </row>
    <row r="722" spans="1:12" x14ac:dyDescent="0.2">
      <c r="A722" s="2"/>
      <c r="B722" s="2"/>
      <c r="C722" s="2"/>
      <c r="D722" s="2"/>
      <c r="E722" s="2"/>
      <c r="F722" s="2"/>
      <c r="G722" s="2"/>
      <c r="H722" s="2"/>
      <c r="I722" s="2"/>
      <c r="J722" s="2"/>
      <c r="K722" s="2"/>
      <c r="L722" s="2"/>
    </row>
    <row r="723" spans="1:12" x14ac:dyDescent="0.2">
      <c r="A723" s="2"/>
      <c r="B723" s="2"/>
      <c r="C723" s="2"/>
      <c r="D723" s="2"/>
      <c r="E723" s="2"/>
      <c r="F723" s="2"/>
      <c r="G723" s="2"/>
      <c r="H723" s="2"/>
      <c r="I723" s="2"/>
      <c r="J723" s="2"/>
      <c r="K723" s="2"/>
      <c r="L723" s="2"/>
    </row>
    <row r="724" spans="1:12" x14ac:dyDescent="0.2">
      <c r="A724" s="2"/>
      <c r="B724" s="2"/>
      <c r="C724" s="2"/>
      <c r="D724" s="2"/>
      <c r="E724" s="2"/>
      <c r="F724" s="2"/>
      <c r="G724" s="2"/>
      <c r="H724" s="2"/>
      <c r="I724" s="2"/>
      <c r="J724" s="2"/>
      <c r="K724" s="2"/>
      <c r="L724" s="2"/>
    </row>
    <row r="725" spans="1:12" x14ac:dyDescent="0.2">
      <c r="A725" s="2"/>
      <c r="B725" s="2"/>
      <c r="C725" s="2"/>
      <c r="D725" s="2"/>
      <c r="E725" s="2"/>
      <c r="F725" s="2"/>
      <c r="G725" s="2"/>
      <c r="H725" s="2"/>
      <c r="I725" s="2"/>
      <c r="J725" s="2"/>
      <c r="K725" s="2"/>
      <c r="L725" s="2"/>
    </row>
    <row r="726" spans="1:12" x14ac:dyDescent="0.2">
      <c r="A726" s="2"/>
      <c r="B726" s="2"/>
      <c r="C726" s="2"/>
      <c r="D726" s="2"/>
      <c r="E726" s="2"/>
      <c r="F726" s="2"/>
      <c r="G726" s="2"/>
      <c r="H726" s="2"/>
      <c r="I726" s="2"/>
      <c r="J726" s="2"/>
      <c r="K726" s="2"/>
      <c r="L726" s="2"/>
    </row>
    <row r="727" spans="1:12" x14ac:dyDescent="0.2">
      <c r="A727" s="2"/>
      <c r="B727" s="2"/>
      <c r="C727" s="2"/>
      <c r="D727" s="2"/>
      <c r="E727" s="2"/>
      <c r="F727" s="2"/>
      <c r="G727" s="2"/>
      <c r="H727" s="2"/>
      <c r="I727" s="2"/>
      <c r="J727" s="2"/>
      <c r="K727" s="2"/>
      <c r="L727" s="2"/>
    </row>
    <row r="728" spans="1:12" x14ac:dyDescent="0.2">
      <c r="A728" s="2"/>
      <c r="B728" s="2"/>
      <c r="C728" s="2"/>
      <c r="D728" s="2"/>
      <c r="E728" s="2"/>
      <c r="F728" s="2"/>
      <c r="G728" s="2"/>
      <c r="H728" s="2"/>
      <c r="I728" s="2"/>
      <c r="J728" s="2"/>
      <c r="K728" s="2"/>
      <c r="L728" s="2"/>
    </row>
    <row r="729" spans="1:12" x14ac:dyDescent="0.2">
      <c r="A729" s="2"/>
      <c r="B729" s="2"/>
      <c r="C729" s="2"/>
      <c r="D729" s="2"/>
      <c r="E729" s="2"/>
      <c r="F729" s="2"/>
      <c r="G729" s="2"/>
      <c r="H729" s="2"/>
      <c r="I729" s="2"/>
      <c r="J729" s="2"/>
      <c r="K729" s="2"/>
      <c r="L729" s="2"/>
    </row>
    <row r="730" spans="1:12" x14ac:dyDescent="0.2">
      <c r="A730" s="2"/>
      <c r="B730" s="2"/>
      <c r="C730" s="2"/>
      <c r="D730" s="2"/>
      <c r="E730" s="2"/>
      <c r="F730" s="2"/>
      <c r="G730" s="2"/>
      <c r="H730" s="2"/>
      <c r="I730" s="2"/>
      <c r="J730" s="2"/>
      <c r="K730" s="2"/>
      <c r="L730" s="2"/>
    </row>
    <row r="731" spans="1:12" x14ac:dyDescent="0.2">
      <c r="A731" s="2"/>
      <c r="B731" s="2"/>
      <c r="C731" s="2"/>
      <c r="D731" s="2"/>
      <c r="E731" s="2"/>
      <c r="F731" s="2"/>
      <c r="G731" s="2"/>
      <c r="H731" s="2"/>
      <c r="I731" s="2"/>
      <c r="J731" s="2"/>
      <c r="K731" s="2"/>
      <c r="L731" s="2"/>
    </row>
    <row r="732" spans="1:12" x14ac:dyDescent="0.2">
      <c r="A732" s="2"/>
      <c r="B732" s="2"/>
      <c r="C732" s="2"/>
      <c r="D732" s="2"/>
      <c r="E732" s="2"/>
      <c r="F732" s="2"/>
      <c r="G732" s="2"/>
      <c r="H732" s="2"/>
      <c r="I732" s="2"/>
      <c r="J732" s="2"/>
      <c r="K732" s="2"/>
      <c r="L732" s="2"/>
    </row>
    <row r="733" spans="1:12" x14ac:dyDescent="0.2">
      <c r="A733" s="2"/>
      <c r="B733" s="2"/>
      <c r="C733" s="2"/>
      <c r="D733" s="2"/>
      <c r="E733" s="2"/>
      <c r="F733" s="2"/>
      <c r="G733" s="2"/>
      <c r="H733" s="2"/>
      <c r="I733" s="2"/>
      <c r="J733" s="2"/>
      <c r="K733" s="2"/>
      <c r="L733" s="2"/>
    </row>
    <row r="734" spans="1:12" x14ac:dyDescent="0.2">
      <c r="A734" s="2"/>
      <c r="B734" s="2"/>
      <c r="C734" s="2"/>
      <c r="D734" s="2"/>
      <c r="E734" s="2"/>
      <c r="F734" s="2"/>
      <c r="G734" s="2"/>
      <c r="H734" s="2"/>
      <c r="I734" s="2"/>
      <c r="J734" s="2"/>
      <c r="K734" s="2"/>
      <c r="L734" s="2"/>
    </row>
    <row r="735" spans="1:12" x14ac:dyDescent="0.2">
      <c r="A735" s="2"/>
      <c r="B735" s="2"/>
      <c r="C735" s="2"/>
      <c r="D735" s="2"/>
      <c r="E735" s="2"/>
      <c r="F735" s="2"/>
      <c r="G735" s="2"/>
      <c r="H735" s="2"/>
      <c r="I735" s="2"/>
      <c r="J735" s="2"/>
      <c r="K735" s="2"/>
      <c r="L735" s="2"/>
    </row>
    <row r="736" spans="1:12" x14ac:dyDescent="0.2">
      <c r="A736" s="2"/>
      <c r="B736" s="2"/>
      <c r="C736" s="2"/>
      <c r="D736" s="2"/>
      <c r="E736" s="2"/>
      <c r="F736" s="2"/>
      <c r="G736" s="2"/>
      <c r="H736" s="2"/>
      <c r="I736" s="2"/>
      <c r="J736" s="2"/>
      <c r="K736" s="2"/>
      <c r="L736" s="2"/>
    </row>
    <row r="737" spans="1:12" x14ac:dyDescent="0.2">
      <c r="A737" s="2"/>
      <c r="B737" s="2"/>
      <c r="C737" s="2"/>
      <c r="D737" s="2"/>
      <c r="E737" s="2"/>
      <c r="F737" s="2"/>
      <c r="G737" s="2"/>
      <c r="H737" s="2"/>
      <c r="I737" s="2"/>
      <c r="J737" s="2"/>
      <c r="K737" s="2"/>
      <c r="L737" s="2"/>
    </row>
    <row r="738" spans="1:12" x14ac:dyDescent="0.2">
      <c r="A738" s="2"/>
      <c r="B738" s="2"/>
      <c r="C738" s="2"/>
      <c r="D738" s="2"/>
      <c r="E738" s="2"/>
      <c r="F738" s="2"/>
      <c r="G738" s="2"/>
      <c r="H738" s="2"/>
      <c r="I738" s="2"/>
      <c r="J738" s="2"/>
      <c r="K738" s="2"/>
      <c r="L738" s="2"/>
    </row>
    <row r="739" spans="1:12" x14ac:dyDescent="0.2">
      <c r="A739" s="2"/>
      <c r="B739" s="2"/>
      <c r="C739" s="2"/>
      <c r="D739" s="2"/>
      <c r="E739" s="2"/>
      <c r="F739" s="2"/>
      <c r="G739" s="2"/>
      <c r="H739" s="2"/>
      <c r="I739" s="2"/>
      <c r="J739" s="2"/>
      <c r="K739" s="2"/>
      <c r="L739" s="2"/>
    </row>
    <row r="740" spans="1:12" x14ac:dyDescent="0.2">
      <c r="A740" s="2"/>
      <c r="B740" s="2"/>
      <c r="C740" s="2"/>
      <c r="D740" s="2"/>
      <c r="E740" s="2"/>
      <c r="F740" s="2"/>
      <c r="G740" s="2"/>
      <c r="H740" s="2"/>
      <c r="I740" s="2"/>
      <c r="J740" s="2"/>
      <c r="K740" s="2"/>
      <c r="L740" s="2"/>
    </row>
    <row r="741" spans="1:12" x14ac:dyDescent="0.2">
      <c r="A741" s="2"/>
      <c r="B741" s="2"/>
      <c r="C741" s="2"/>
      <c r="D741" s="2"/>
      <c r="E741" s="2"/>
      <c r="F741" s="2"/>
      <c r="G741" s="2"/>
      <c r="H741" s="2"/>
      <c r="I741" s="2"/>
      <c r="J741" s="2"/>
      <c r="K741" s="2"/>
      <c r="L741" s="2"/>
    </row>
    <row r="742" spans="1:12" x14ac:dyDescent="0.2">
      <c r="A742" s="2"/>
      <c r="B742" s="2"/>
      <c r="C742" s="2"/>
      <c r="D742" s="2"/>
      <c r="E742" s="2"/>
      <c r="F742" s="2"/>
      <c r="G742" s="2"/>
      <c r="H742" s="2"/>
      <c r="I742" s="2"/>
      <c r="J742" s="2"/>
      <c r="K742" s="2"/>
      <c r="L742" s="2"/>
    </row>
    <row r="743" spans="1:12" x14ac:dyDescent="0.2">
      <c r="A743" s="2"/>
      <c r="B743" s="2"/>
      <c r="C743" s="2"/>
      <c r="D743" s="2"/>
      <c r="E743" s="2"/>
      <c r="F743" s="2"/>
      <c r="G743" s="2"/>
      <c r="H743" s="2"/>
      <c r="I743" s="2"/>
      <c r="J743" s="2"/>
      <c r="K743" s="2"/>
      <c r="L743" s="2"/>
    </row>
    <row r="744" spans="1:12" x14ac:dyDescent="0.2">
      <c r="A744" s="2"/>
      <c r="B744" s="2"/>
      <c r="C744" s="2"/>
      <c r="D744" s="2"/>
      <c r="E744" s="2"/>
      <c r="F744" s="2"/>
      <c r="G744" s="2"/>
      <c r="H744" s="2"/>
      <c r="I744" s="2"/>
      <c r="J744" s="2"/>
      <c r="K744" s="2"/>
      <c r="L744" s="2"/>
    </row>
    <row r="745" spans="1:12" x14ac:dyDescent="0.2">
      <c r="A745" s="2"/>
      <c r="B745" s="2"/>
      <c r="C745" s="2"/>
      <c r="D745" s="2"/>
      <c r="E745" s="2"/>
      <c r="F745" s="2"/>
      <c r="G745" s="2"/>
      <c r="H745" s="2"/>
      <c r="I745" s="2"/>
      <c r="J745" s="2"/>
      <c r="K745" s="2"/>
      <c r="L745" s="2"/>
    </row>
    <row r="746" spans="1:12" x14ac:dyDescent="0.2">
      <c r="A746" s="2"/>
      <c r="B746" s="2"/>
      <c r="C746" s="2"/>
      <c r="D746" s="2"/>
      <c r="E746" s="2"/>
      <c r="F746" s="2"/>
      <c r="G746" s="2"/>
      <c r="H746" s="2"/>
      <c r="I746" s="2"/>
      <c r="J746" s="2"/>
      <c r="K746" s="2"/>
      <c r="L746" s="2"/>
    </row>
    <row r="747" spans="1:12" x14ac:dyDescent="0.2">
      <c r="A747" s="2"/>
      <c r="B747" s="2"/>
      <c r="C747" s="2"/>
      <c r="D747" s="2"/>
      <c r="E747" s="2"/>
      <c r="F747" s="2"/>
      <c r="G747" s="2"/>
      <c r="H747" s="2"/>
      <c r="I747" s="2"/>
      <c r="J747" s="2"/>
      <c r="K747" s="2"/>
      <c r="L747" s="2"/>
    </row>
    <row r="748" spans="1:12" x14ac:dyDescent="0.2">
      <c r="A748" s="2"/>
      <c r="B748" s="2"/>
      <c r="C748" s="2"/>
      <c r="D748" s="2"/>
      <c r="E748" s="2"/>
      <c r="F748" s="2"/>
      <c r="G748" s="2"/>
      <c r="H748" s="2"/>
      <c r="I748" s="2"/>
      <c r="J748" s="2"/>
      <c r="K748" s="2"/>
      <c r="L748" s="2"/>
    </row>
    <row r="749" spans="1:12" x14ac:dyDescent="0.2">
      <c r="A749" s="2"/>
      <c r="B749" s="2"/>
      <c r="C749" s="2"/>
      <c r="D749" s="2"/>
      <c r="E749" s="2"/>
      <c r="F749" s="2"/>
      <c r="G749" s="2"/>
      <c r="H749" s="2"/>
      <c r="I749" s="2"/>
      <c r="J749" s="2"/>
      <c r="K749" s="2"/>
      <c r="L749" s="2"/>
    </row>
    <row r="750" spans="1:12" x14ac:dyDescent="0.2">
      <c r="A750" s="2"/>
      <c r="B750" s="2"/>
      <c r="C750" s="2"/>
      <c r="D750" s="2"/>
      <c r="E750" s="2"/>
      <c r="F750" s="2"/>
      <c r="G750" s="2"/>
      <c r="H750" s="2"/>
      <c r="I750" s="2"/>
      <c r="J750" s="2"/>
      <c r="K750" s="2"/>
      <c r="L750" s="2"/>
    </row>
    <row r="751" spans="1:12" x14ac:dyDescent="0.2">
      <c r="A751" s="2"/>
      <c r="B751" s="2"/>
      <c r="C751" s="2"/>
      <c r="D751" s="2"/>
      <c r="E751" s="2"/>
      <c r="F751" s="2"/>
      <c r="G751" s="2"/>
      <c r="H751" s="2"/>
      <c r="I751" s="2"/>
      <c r="J751" s="2"/>
      <c r="K751" s="2"/>
      <c r="L751" s="2"/>
    </row>
    <row r="752" spans="1:12" x14ac:dyDescent="0.2">
      <c r="A752" s="2"/>
      <c r="B752" s="2"/>
      <c r="C752" s="2"/>
      <c r="D752" s="2"/>
      <c r="E752" s="2"/>
      <c r="F752" s="2"/>
      <c r="G752" s="2"/>
      <c r="H752" s="2"/>
      <c r="I752" s="2"/>
      <c r="J752" s="2"/>
      <c r="K752" s="2"/>
      <c r="L752" s="2"/>
    </row>
    <row r="753" spans="1:12" x14ac:dyDescent="0.2">
      <c r="A753" s="2"/>
      <c r="B753" s="2"/>
      <c r="C753" s="2"/>
      <c r="D753" s="2"/>
      <c r="E753" s="2"/>
      <c r="F753" s="2"/>
      <c r="G753" s="2"/>
      <c r="H753" s="2"/>
      <c r="I753" s="2"/>
      <c r="J753" s="2"/>
      <c r="K753" s="2"/>
      <c r="L753" s="2"/>
    </row>
    <row r="754" spans="1:12" x14ac:dyDescent="0.2">
      <c r="A754" s="2"/>
      <c r="B754" s="2"/>
      <c r="C754" s="2"/>
      <c r="D754" s="2"/>
      <c r="E754" s="2"/>
      <c r="F754" s="2"/>
      <c r="G754" s="2"/>
      <c r="H754" s="2"/>
      <c r="I754" s="2"/>
      <c r="J754" s="2"/>
      <c r="K754" s="2"/>
      <c r="L754" s="2"/>
    </row>
    <row r="755" spans="1:12" x14ac:dyDescent="0.2">
      <c r="A755" s="2"/>
      <c r="B755" s="2"/>
      <c r="C755" s="2"/>
      <c r="D755" s="2"/>
      <c r="E755" s="2"/>
      <c r="F755" s="2"/>
      <c r="G755" s="2"/>
      <c r="H755" s="2"/>
      <c r="I755" s="2"/>
      <c r="J755" s="2"/>
      <c r="K755" s="2"/>
      <c r="L755" s="2"/>
    </row>
    <row r="756" spans="1:12" x14ac:dyDescent="0.2">
      <c r="A756" s="2"/>
      <c r="B756" s="2"/>
      <c r="C756" s="2"/>
      <c r="D756" s="2"/>
      <c r="E756" s="2"/>
      <c r="F756" s="2"/>
      <c r="G756" s="2"/>
      <c r="H756" s="2"/>
      <c r="I756" s="2"/>
      <c r="J756" s="2"/>
      <c r="K756" s="2"/>
      <c r="L756" s="2"/>
    </row>
    <row r="757" spans="1:12" x14ac:dyDescent="0.2">
      <c r="A757" s="2"/>
      <c r="B757" s="2"/>
      <c r="C757" s="2"/>
      <c r="D757" s="2"/>
      <c r="E757" s="2"/>
      <c r="F757" s="2"/>
      <c r="G757" s="2"/>
      <c r="H757" s="2"/>
      <c r="I757" s="2"/>
      <c r="J757" s="2"/>
      <c r="K757" s="2"/>
      <c r="L757" s="2"/>
    </row>
    <row r="758" spans="1:12" x14ac:dyDescent="0.2">
      <c r="A758" s="2"/>
      <c r="B758" s="2"/>
      <c r="C758" s="2"/>
      <c r="D758" s="2"/>
      <c r="E758" s="2"/>
      <c r="F758" s="2"/>
      <c r="G758" s="2"/>
      <c r="H758" s="2"/>
      <c r="I758" s="2"/>
      <c r="J758" s="2"/>
      <c r="K758" s="2"/>
      <c r="L758" s="2"/>
    </row>
    <row r="759" spans="1:12" x14ac:dyDescent="0.2">
      <c r="A759" s="2"/>
      <c r="B759" s="2"/>
      <c r="C759" s="2"/>
      <c r="D759" s="2"/>
      <c r="E759" s="2"/>
      <c r="F759" s="2"/>
      <c r="G759" s="2"/>
      <c r="H759" s="2"/>
      <c r="I759" s="2"/>
      <c r="J759" s="2"/>
      <c r="K759" s="2"/>
      <c r="L759" s="2"/>
    </row>
    <row r="760" spans="1:12" x14ac:dyDescent="0.2">
      <c r="A760" s="2"/>
      <c r="B760" s="2"/>
      <c r="C760" s="2"/>
      <c r="D760" s="2"/>
      <c r="E760" s="2"/>
      <c r="F760" s="2"/>
      <c r="G760" s="2"/>
      <c r="H760" s="2"/>
      <c r="I760" s="2"/>
      <c r="J760" s="2"/>
      <c r="K760" s="2"/>
      <c r="L760" s="2"/>
    </row>
    <row r="761" spans="1:12" x14ac:dyDescent="0.2">
      <c r="A761" s="2"/>
      <c r="B761" s="2"/>
      <c r="C761" s="2"/>
      <c r="D761" s="2"/>
      <c r="E761" s="2"/>
      <c r="F761" s="2"/>
      <c r="G761" s="2"/>
      <c r="H761" s="2"/>
      <c r="I761" s="2"/>
      <c r="J761" s="2"/>
      <c r="K761" s="2"/>
      <c r="L761" s="2"/>
    </row>
    <row r="762" spans="1:12" x14ac:dyDescent="0.2">
      <c r="A762" s="2"/>
      <c r="B762" s="2"/>
      <c r="C762" s="2"/>
      <c r="D762" s="2"/>
      <c r="E762" s="2"/>
      <c r="F762" s="2"/>
      <c r="G762" s="2"/>
      <c r="H762" s="2"/>
      <c r="I762" s="2"/>
      <c r="J762" s="2"/>
      <c r="K762" s="2"/>
      <c r="L762" s="2"/>
    </row>
    <row r="763" spans="1:12" x14ac:dyDescent="0.2">
      <c r="A763" s="2"/>
      <c r="B763" s="2"/>
      <c r="C763" s="2"/>
      <c r="D763" s="2"/>
      <c r="E763" s="2"/>
      <c r="F763" s="2"/>
      <c r="G763" s="2"/>
      <c r="H763" s="2"/>
      <c r="I763" s="2"/>
      <c r="J763" s="2"/>
      <c r="K763" s="2"/>
      <c r="L763" s="2"/>
    </row>
    <row r="764" spans="1:12" x14ac:dyDescent="0.2">
      <c r="A764" s="2"/>
      <c r="B764" s="2"/>
      <c r="C764" s="2"/>
      <c r="D764" s="2"/>
      <c r="E764" s="2"/>
      <c r="F764" s="2"/>
      <c r="G764" s="2"/>
      <c r="H764" s="2"/>
      <c r="I764" s="2"/>
      <c r="J764" s="2"/>
      <c r="K764" s="2"/>
      <c r="L764" s="2"/>
    </row>
    <row r="765" spans="1:12" x14ac:dyDescent="0.2">
      <c r="A765" s="2"/>
      <c r="B765" s="2"/>
      <c r="C765" s="2"/>
      <c r="D765" s="2"/>
      <c r="E765" s="2"/>
      <c r="F765" s="2"/>
      <c r="G765" s="2"/>
      <c r="H765" s="2"/>
      <c r="I765" s="2"/>
      <c r="J765" s="2"/>
      <c r="K765" s="2"/>
      <c r="L765" s="2"/>
    </row>
    <row r="766" spans="1:12" x14ac:dyDescent="0.2">
      <c r="A766" s="2"/>
      <c r="B766" s="2"/>
      <c r="C766" s="2"/>
      <c r="D766" s="2"/>
      <c r="E766" s="2"/>
      <c r="F766" s="2"/>
      <c r="G766" s="2"/>
      <c r="H766" s="2"/>
      <c r="I766" s="2"/>
      <c r="J766" s="2"/>
      <c r="K766" s="2"/>
      <c r="L766" s="2"/>
    </row>
    <row r="767" spans="1:12" x14ac:dyDescent="0.2">
      <c r="A767" s="2"/>
      <c r="B767" s="2"/>
      <c r="C767" s="2"/>
      <c r="D767" s="2"/>
      <c r="E767" s="2"/>
      <c r="F767" s="2"/>
      <c r="G767" s="2"/>
      <c r="H767" s="2"/>
      <c r="I767" s="2"/>
      <c r="J767" s="2"/>
      <c r="K767" s="2"/>
      <c r="L767" s="2"/>
    </row>
    <row r="768" spans="1:12" x14ac:dyDescent="0.2">
      <c r="A768" s="2"/>
      <c r="B768" s="2"/>
      <c r="C768" s="2"/>
      <c r="D768" s="2"/>
      <c r="E768" s="2"/>
      <c r="F768" s="2"/>
      <c r="G768" s="2"/>
      <c r="H768" s="2"/>
      <c r="I768" s="2"/>
      <c r="J768" s="2"/>
      <c r="K768" s="2"/>
      <c r="L768" s="2"/>
    </row>
    <row r="769" spans="1:12" x14ac:dyDescent="0.2">
      <c r="A769" s="2"/>
      <c r="B769" s="2"/>
      <c r="C769" s="2"/>
      <c r="D769" s="2"/>
      <c r="E769" s="2"/>
      <c r="F769" s="2"/>
      <c r="G769" s="2"/>
      <c r="H769" s="2"/>
      <c r="I769" s="2"/>
      <c r="J769" s="2"/>
      <c r="K769" s="2"/>
      <c r="L769" s="2"/>
    </row>
    <row r="770" spans="1:12" x14ac:dyDescent="0.2">
      <c r="A770" s="2"/>
      <c r="B770" s="2"/>
      <c r="C770" s="2"/>
      <c r="D770" s="2"/>
      <c r="E770" s="2"/>
      <c r="F770" s="2"/>
      <c r="G770" s="2"/>
      <c r="H770" s="2"/>
      <c r="I770" s="2"/>
      <c r="J770" s="2"/>
      <c r="K770" s="2"/>
      <c r="L770" s="2"/>
    </row>
    <row r="771" spans="1:12" x14ac:dyDescent="0.2">
      <c r="A771" s="2"/>
      <c r="B771" s="2"/>
      <c r="C771" s="2"/>
      <c r="D771" s="2"/>
      <c r="E771" s="2"/>
      <c r="F771" s="2"/>
      <c r="G771" s="2"/>
      <c r="H771" s="2"/>
      <c r="I771" s="2"/>
      <c r="J771" s="2"/>
      <c r="K771" s="2"/>
      <c r="L771" s="2"/>
    </row>
    <row r="772" spans="1:12" x14ac:dyDescent="0.2">
      <c r="A772" s="2"/>
      <c r="B772" s="2"/>
      <c r="C772" s="2"/>
      <c r="D772" s="2"/>
      <c r="E772" s="2"/>
      <c r="F772" s="2"/>
      <c r="G772" s="2"/>
      <c r="H772" s="2"/>
      <c r="I772" s="2"/>
      <c r="J772" s="2"/>
      <c r="K772" s="2"/>
      <c r="L772" s="2"/>
    </row>
    <row r="773" spans="1:12" x14ac:dyDescent="0.2">
      <c r="A773" s="2"/>
      <c r="B773" s="2"/>
      <c r="C773" s="2"/>
      <c r="D773" s="2"/>
      <c r="E773" s="2"/>
      <c r="F773" s="2"/>
      <c r="G773" s="2"/>
      <c r="H773" s="2"/>
      <c r="I773" s="2"/>
      <c r="J773" s="2"/>
      <c r="K773" s="2"/>
      <c r="L773" s="2"/>
    </row>
    <row r="774" spans="1:12" x14ac:dyDescent="0.2">
      <c r="A774" s="2"/>
      <c r="B774" s="2"/>
      <c r="C774" s="2"/>
      <c r="D774" s="2"/>
      <c r="E774" s="2"/>
      <c r="F774" s="2"/>
      <c r="G774" s="2"/>
      <c r="H774" s="2"/>
      <c r="I774" s="2"/>
      <c r="J774" s="2"/>
      <c r="K774" s="2"/>
      <c r="L774" s="2"/>
    </row>
    <row r="775" spans="1:12" x14ac:dyDescent="0.2">
      <c r="A775" s="2"/>
      <c r="B775" s="2"/>
      <c r="C775" s="2"/>
      <c r="D775" s="2"/>
      <c r="E775" s="2"/>
      <c r="F775" s="2"/>
      <c r="G775" s="2"/>
      <c r="H775" s="2"/>
      <c r="I775" s="2"/>
      <c r="J775" s="2"/>
      <c r="K775" s="2"/>
      <c r="L775" s="2"/>
    </row>
    <row r="776" spans="1:12" x14ac:dyDescent="0.2">
      <c r="A776" s="2"/>
      <c r="B776" s="2"/>
      <c r="C776" s="2"/>
      <c r="D776" s="2"/>
      <c r="E776" s="2"/>
      <c r="F776" s="2"/>
      <c r="G776" s="2"/>
      <c r="H776" s="2"/>
      <c r="I776" s="2"/>
      <c r="J776" s="2"/>
      <c r="K776" s="2"/>
      <c r="L776" s="2"/>
    </row>
    <row r="777" spans="1:12" x14ac:dyDescent="0.2">
      <c r="A777" s="2"/>
      <c r="B777" s="2"/>
      <c r="C777" s="2"/>
      <c r="D777" s="2"/>
      <c r="E777" s="2"/>
      <c r="F777" s="2"/>
      <c r="G777" s="2"/>
      <c r="H777" s="2"/>
      <c r="I777" s="2"/>
      <c r="J777" s="2"/>
      <c r="K777" s="2"/>
      <c r="L777" s="2"/>
    </row>
    <row r="778" spans="1:12" x14ac:dyDescent="0.2">
      <c r="A778" s="2"/>
      <c r="B778" s="2"/>
      <c r="C778" s="2"/>
      <c r="D778" s="2"/>
      <c r="E778" s="2"/>
      <c r="F778" s="2"/>
      <c r="G778" s="2"/>
      <c r="H778" s="2"/>
      <c r="I778" s="2"/>
      <c r="J778" s="2"/>
      <c r="K778" s="2"/>
      <c r="L778" s="2"/>
    </row>
    <row r="779" spans="1:12" x14ac:dyDescent="0.2">
      <c r="A779" s="2"/>
      <c r="B779" s="2"/>
      <c r="C779" s="2"/>
      <c r="D779" s="2"/>
      <c r="E779" s="2"/>
      <c r="F779" s="2"/>
      <c r="G779" s="2"/>
      <c r="H779" s="2"/>
      <c r="I779" s="2"/>
      <c r="J779" s="2"/>
      <c r="K779" s="2"/>
      <c r="L779" s="2"/>
    </row>
    <row r="780" spans="1:12" x14ac:dyDescent="0.2">
      <c r="A780" s="2"/>
      <c r="B780" s="2"/>
      <c r="C780" s="2"/>
      <c r="D780" s="2"/>
      <c r="E780" s="2"/>
      <c r="F780" s="2"/>
      <c r="G780" s="2"/>
      <c r="H780" s="2"/>
      <c r="I780" s="2"/>
      <c r="J780" s="2"/>
      <c r="K780" s="2"/>
      <c r="L780" s="2"/>
    </row>
    <row r="781" spans="1:12" x14ac:dyDescent="0.2">
      <c r="A781" s="2"/>
      <c r="B781" s="2"/>
      <c r="C781" s="2"/>
      <c r="D781" s="2"/>
      <c r="E781" s="2"/>
      <c r="F781" s="2"/>
      <c r="G781" s="2"/>
      <c r="H781" s="2"/>
      <c r="I781" s="2"/>
      <c r="J781" s="2"/>
      <c r="K781" s="2"/>
      <c r="L781" s="2"/>
    </row>
    <row r="782" spans="1:12" x14ac:dyDescent="0.2">
      <c r="A782" s="2"/>
      <c r="B782" s="2"/>
      <c r="C782" s="2"/>
      <c r="D782" s="2"/>
      <c r="E782" s="2"/>
      <c r="F782" s="2"/>
      <c r="G782" s="2"/>
      <c r="H782" s="2"/>
      <c r="I782" s="2"/>
      <c r="J782" s="2"/>
      <c r="K782" s="2"/>
      <c r="L782" s="2"/>
    </row>
    <row r="783" spans="1:12" x14ac:dyDescent="0.2">
      <c r="A783" s="2"/>
      <c r="B783" s="2"/>
      <c r="C783" s="2"/>
      <c r="D783" s="2"/>
      <c r="E783" s="2"/>
      <c r="F783" s="2"/>
      <c r="G783" s="2"/>
      <c r="H783" s="2"/>
      <c r="I783" s="2"/>
      <c r="J783" s="2"/>
      <c r="K783" s="2"/>
      <c r="L783" s="2"/>
    </row>
    <row r="784" spans="1:12" x14ac:dyDescent="0.2">
      <c r="A784" s="2"/>
      <c r="B784" s="2"/>
      <c r="C784" s="2"/>
      <c r="D784" s="2"/>
      <c r="E784" s="2"/>
      <c r="F784" s="2"/>
      <c r="G784" s="2"/>
      <c r="H784" s="2"/>
      <c r="I784" s="2"/>
      <c r="J784" s="2"/>
      <c r="K784" s="2"/>
      <c r="L784" s="2"/>
    </row>
    <row r="785" spans="1:12" x14ac:dyDescent="0.2">
      <c r="A785" s="2"/>
      <c r="B785" s="2"/>
      <c r="C785" s="2"/>
      <c r="D785" s="2"/>
      <c r="E785" s="2"/>
      <c r="F785" s="2"/>
      <c r="G785" s="2"/>
      <c r="H785" s="2"/>
      <c r="I785" s="2"/>
      <c r="J785" s="2"/>
      <c r="K785" s="2"/>
      <c r="L785" s="2"/>
    </row>
    <row r="786" spans="1:12" x14ac:dyDescent="0.2">
      <c r="A786" s="2"/>
      <c r="B786" s="2"/>
      <c r="C786" s="2"/>
      <c r="D786" s="2"/>
      <c r="E786" s="2"/>
      <c r="F786" s="2"/>
      <c r="G786" s="2"/>
      <c r="H786" s="2"/>
      <c r="I786" s="2"/>
      <c r="J786" s="2"/>
      <c r="K786" s="2"/>
      <c r="L786" s="2"/>
    </row>
    <row r="787" spans="1:12" x14ac:dyDescent="0.2">
      <c r="A787" s="2"/>
      <c r="B787" s="2"/>
      <c r="C787" s="2"/>
      <c r="D787" s="2"/>
      <c r="E787" s="2"/>
      <c r="F787" s="2"/>
      <c r="G787" s="2"/>
      <c r="H787" s="2"/>
      <c r="I787" s="2"/>
      <c r="J787" s="2"/>
      <c r="K787" s="2"/>
      <c r="L787" s="2"/>
    </row>
    <row r="788" spans="1:12" x14ac:dyDescent="0.2">
      <c r="A788" s="2"/>
      <c r="B788" s="2"/>
      <c r="C788" s="2"/>
      <c r="D788" s="2"/>
      <c r="E788" s="2"/>
      <c r="F788" s="2"/>
      <c r="G788" s="2"/>
      <c r="H788" s="2"/>
      <c r="I788" s="2"/>
      <c r="J788" s="2"/>
      <c r="K788" s="2"/>
      <c r="L788" s="2"/>
    </row>
    <row r="789" spans="1:12" x14ac:dyDescent="0.2">
      <c r="A789" s="2"/>
      <c r="B789" s="2"/>
      <c r="C789" s="2"/>
      <c r="D789" s="2"/>
      <c r="E789" s="2"/>
      <c r="F789" s="2"/>
      <c r="G789" s="2"/>
      <c r="H789" s="2"/>
      <c r="I789" s="2"/>
      <c r="J789" s="2"/>
      <c r="K789" s="2"/>
      <c r="L789" s="2"/>
    </row>
    <row r="790" spans="1:12" x14ac:dyDescent="0.2">
      <c r="A790" s="2"/>
      <c r="B790" s="2"/>
      <c r="C790" s="2"/>
      <c r="D790" s="2"/>
      <c r="E790" s="2"/>
      <c r="F790" s="2"/>
      <c r="G790" s="2"/>
      <c r="H790" s="2"/>
      <c r="I790" s="2"/>
      <c r="J790" s="2"/>
      <c r="K790" s="2"/>
      <c r="L790" s="2"/>
    </row>
    <row r="791" spans="1:12" x14ac:dyDescent="0.2">
      <c r="A791" s="2"/>
      <c r="B791" s="2"/>
      <c r="C791" s="2"/>
      <c r="D791" s="2"/>
      <c r="E791" s="2"/>
      <c r="F791" s="2"/>
      <c r="G791" s="2"/>
      <c r="H791" s="2"/>
      <c r="I791" s="2"/>
      <c r="J791" s="2"/>
      <c r="K791" s="2"/>
      <c r="L791" s="2"/>
    </row>
    <row r="792" spans="1:12" x14ac:dyDescent="0.2">
      <c r="A792" s="2"/>
      <c r="B792" s="2"/>
      <c r="C792" s="2"/>
      <c r="D792" s="2"/>
      <c r="E792" s="2"/>
      <c r="F792" s="2"/>
      <c r="G792" s="2"/>
      <c r="H792" s="2"/>
      <c r="I792" s="2"/>
      <c r="J792" s="2"/>
      <c r="K792" s="2"/>
      <c r="L792" s="2"/>
    </row>
    <row r="793" spans="1:12" x14ac:dyDescent="0.2">
      <c r="A793" s="2"/>
      <c r="B793" s="2"/>
      <c r="C793" s="2"/>
      <c r="D793" s="2"/>
      <c r="E793" s="2"/>
      <c r="F793" s="2"/>
      <c r="G793" s="2"/>
      <c r="H793" s="2"/>
      <c r="I793" s="2"/>
      <c r="J793" s="2"/>
      <c r="K793" s="2"/>
      <c r="L793" s="2"/>
    </row>
    <row r="794" spans="1:12" x14ac:dyDescent="0.2">
      <c r="A794" s="2"/>
      <c r="B794" s="2"/>
      <c r="C794" s="2"/>
      <c r="D794" s="2"/>
      <c r="E794" s="2"/>
      <c r="F794" s="2"/>
      <c r="G794" s="2"/>
      <c r="H794" s="2"/>
      <c r="I794" s="2"/>
      <c r="J794" s="2"/>
      <c r="K794" s="2"/>
      <c r="L794" s="2"/>
    </row>
    <row r="795" spans="1:12" x14ac:dyDescent="0.2">
      <c r="A795" s="2"/>
      <c r="B795" s="2"/>
      <c r="C795" s="2"/>
      <c r="D795" s="2"/>
      <c r="E795" s="2"/>
      <c r="F795" s="2"/>
      <c r="G795" s="2"/>
      <c r="H795" s="2"/>
      <c r="I795" s="2"/>
      <c r="J795" s="2"/>
      <c r="K795" s="2"/>
      <c r="L795" s="2"/>
    </row>
    <row r="796" spans="1:12" x14ac:dyDescent="0.2">
      <c r="A796" s="2"/>
      <c r="B796" s="2"/>
      <c r="C796" s="2"/>
      <c r="D796" s="2"/>
      <c r="E796" s="2"/>
      <c r="F796" s="2"/>
      <c r="G796" s="2"/>
      <c r="H796" s="2"/>
      <c r="I796" s="2"/>
      <c r="J796" s="2"/>
      <c r="K796" s="2"/>
      <c r="L796" s="2"/>
    </row>
    <row r="797" spans="1:12" x14ac:dyDescent="0.2">
      <c r="A797" s="2"/>
      <c r="B797" s="2"/>
      <c r="C797" s="2"/>
      <c r="D797" s="2"/>
      <c r="E797" s="2"/>
      <c r="F797" s="2"/>
      <c r="G797" s="2"/>
      <c r="H797" s="2"/>
      <c r="I797" s="2"/>
      <c r="J797" s="2"/>
      <c r="K797" s="2"/>
      <c r="L797" s="2"/>
    </row>
    <row r="798" spans="1:12" x14ac:dyDescent="0.2">
      <c r="A798" s="2"/>
      <c r="B798" s="2"/>
      <c r="C798" s="2"/>
      <c r="D798" s="2"/>
      <c r="E798" s="2"/>
      <c r="F798" s="2"/>
      <c r="G798" s="2"/>
      <c r="H798" s="2"/>
      <c r="I798" s="2"/>
      <c r="J798" s="2"/>
      <c r="K798" s="2"/>
      <c r="L798" s="2"/>
    </row>
    <row r="799" spans="1:12" x14ac:dyDescent="0.2">
      <c r="A799" s="2"/>
      <c r="B799" s="2"/>
      <c r="C799" s="2"/>
      <c r="D799" s="2"/>
      <c r="E799" s="2"/>
      <c r="F799" s="2"/>
      <c r="G799" s="2"/>
      <c r="H799" s="2"/>
      <c r="I799" s="2"/>
      <c r="J799" s="2"/>
      <c r="K799" s="2"/>
      <c r="L799" s="2"/>
    </row>
    <row r="800" spans="1:12" x14ac:dyDescent="0.2">
      <c r="A800" s="2"/>
      <c r="B800" s="2"/>
      <c r="C800" s="2"/>
      <c r="D800" s="2"/>
      <c r="E800" s="2"/>
      <c r="F800" s="2"/>
      <c r="G800" s="2"/>
      <c r="H800" s="2"/>
      <c r="I800" s="2"/>
      <c r="J800" s="2"/>
      <c r="K800" s="2"/>
      <c r="L800" s="2"/>
    </row>
    <row r="801" spans="1:12" x14ac:dyDescent="0.2">
      <c r="A801" s="2"/>
      <c r="B801" s="2"/>
      <c r="C801" s="2"/>
      <c r="D801" s="2"/>
      <c r="E801" s="2"/>
      <c r="F801" s="2"/>
      <c r="G801" s="2"/>
      <c r="H801" s="2"/>
      <c r="I801" s="2"/>
      <c r="J801" s="2"/>
      <c r="K801" s="2"/>
      <c r="L801" s="2"/>
    </row>
    <row r="802" spans="1:12" x14ac:dyDescent="0.2">
      <c r="A802" s="2"/>
      <c r="B802" s="2"/>
      <c r="C802" s="2"/>
      <c r="D802" s="2"/>
      <c r="E802" s="2"/>
      <c r="F802" s="2"/>
      <c r="G802" s="2"/>
      <c r="H802" s="2"/>
      <c r="I802" s="2"/>
      <c r="J802" s="2"/>
      <c r="K802" s="2"/>
      <c r="L802" s="2"/>
    </row>
    <row r="803" spans="1:12" x14ac:dyDescent="0.2">
      <c r="A803" s="2"/>
      <c r="B803" s="2"/>
      <c r="C803" s="2"/>
      <c r="D803" s="2"/>
      <c r="E803" s="2"/>
      <c r="F803" s="2"/>
      <c r="G803" s="2"/>
      <c r="H803" s="2"/>
      <c r="I803" s="2"/>
      <c r="J803" s="2"/>
      <c r="K803" s="2"/>
      <c r="L803" s="2"/>
    </row>
    <row r="804" spans="1:12" x14ac:dyDescent="0.2">
      <c r="A804" s="2"/>
      <c r="B804" s="2"/>
      <c r="C804" s="2"/>
      <c r="D804" s="2"/>
      <c r="E804" s="2"/>
      <c r="F804" s="2"/>
      <c r="G804" s="2"/>
      <c r="H804" s="2"/>
      <c r="I804" s="2"/>
      <c r="J804" s="2"/>
      <c r="K804" s="2"/>
      <c r="L804" s="2"/>
    </row>
    <row r="805" spans="1:12" x14ac:dyDescent="0.2">
      <c r="A805" s="2"/>
      <c r="B805" s="2"/>
      <c r="C805" s="2"/>
      <c r="D805" s="2"/>
      <c r="E805" s="2"/>
      <c r="F805" s="2"/>
      <c r="G805" s="2"/>
      <c r="H805" s="2"/>
      <c r="I805" s="2"/>
      <c r="J805" s="2"/>
      <c r="K805" s="2"/>
      <c r="L805" s="2"/>
    </row>
    <row r="806" spans="1:12" x14ac:dyDescent="0.2">
      <c r="A806" s="2"/>
      <c r="B806" s="2"/>
      <c r="C806" s="2"/>
      <c r="D806" s="2"/>
      <c r="E806" s="2"/>
      <c r="F806" s="2"/>
      <c r="G806" s="2"/>
      <c r="H806" s="2"/>
      <c r="I806" s="2"/>
      <c r="J806" s="2"/>
      <c r="K806" s="2"/>
      <c r="L806" s="2"/>
    </row>
    <row r="807" spans="1:12" x14ac:dyDescent="0.2">
      <c r="A807" s="2"/>
      <c r="B807" s="2"/>
      <c r="C807" s="2"/>
      <c r="D807" s="2"/>
      <c r="E807" s="2"/>
      <c r="F807" s="2"/>
      <c r="G807" s="2"/>
      <c r="H807" s="2"/>
      <c r="I807" s="2"/>
      <c r="J807" s="2"/>
      <c r="K807" s="2"/>
      <c r="L807" s="2"/>
    </row>
    <row r="808" spans="1:12" x14ac:dyDescent="0.2">
      <c r="A808" s="2"/>
      <c r="B808" s="2"/>
      <c r="C808" s="2"/>
      <c r="D808" s="2"/>
      <c r="E808" s="2"/>
      <c r="F808" s="2"/>
      <c r="G808" s="2"/>
      <c r="H808" s="2"/>
      <c r="I808" s="2"/>
      <c r="J808" s="2"/>
      <c r="K808" s="2"/>
      <c r="L808" s="2"/>
    </row>
    <row r="809" spans="1:12" x14ac:dyDescent="0.2">
      <c r="A809" s="2"/>
      <c r="B809" s="2"/>
      <c r="C809" s="2"/>
      <c r="D809" s="2"/>
      <c r="E809" s="2"/>
      <c r="F809" s="2"/>
      <c r="G809" s="2"/>
      <c r="H809" s="2"/>
      <c r="I809" s="2"/>
      <c r="J809" s="2"/>
      <c r="K809" s="2"/>
      <c r="L809" s="2"/>
    </row>
    <row r="810" spans="1:12" x14ac:dyDescent="0.2">
      <c r="A810" s="2"/>
      <c r="B810" s="2"/>
      <c r="C810" s="2"/>
      <c r="D810" s="2"/>
      <c r="E810" s="2"/>
      <c r="F810" s="2"/>
      <c r="G810" s="2"/>
      <c r="H810" s="2"/>
      <c r="I810" s="2"/>
      <c r="J810" s="2"/>
      <c r="K810" s="2"/>
      <c r="L810" s="2"/>
    </row>
    <row r="811" spans="1:12" x14ac:dyDescent="0.2">
      <c r="A811" s="2"/>
      <c r="B811" s="2"/>
      <c r="C811" s="2"/>
      <c r="D811" s="2"/>
      <c r="E811" s="2"/>
      <c r="F811" s="2"/>
      <c r="G811" s="2"/>
      <c r="H811" s="2"/>
      <c r="I811" s="2"/>
      <c r="J811" s="2"/>
      <c r="K811" s="2"/>
      <c r="L811" s="2"/>
    </row>
    <row r="812" spans="1:12" x14ac:dyDescent="0.2">
      <c r="A812" s="2"/>
      <c r="B812" s="2"/>
      <c r="C812" s="2"/>
      <c r="D812" s="2"/>
      <c r="E812" s="2"/>
      <c r="F812" s="2"/>
      <c r="G812" s="2"/>
      <c r="H812" s="2"/>
      <c r="I812" s="2"/>
      <c r="J812" s="2"/>
      <c r="K812" s="2"/>
      <c r="L812" s="2"/>
    </row>
    <row r="813" spans="1:12" x14ac:dyDescent="0.2">
      <c r="A813" s="2"/>
      <c r="B813" s="2"/>
      <c r="C813" s="2"/>
      <c r="D813" s="2"/>
      <c r="E813" s="2"/>
      <c r="F813" s="2"/>
      <c r="G813" s="2"/>
      <c r="H813" s="2"/>
      <c r="I813" s="2"/>
      <c r="J813" s="2"/>
      <c r="K813" s="2"/>
      <c r="L813" s="2"/>
    </row>
    <row r="814" spans="1:12" x14ac:dyDescent="0.2">
      <c r="A814" s="2"/>
      <c r="B814" s="2"/>
      <c r="C814" s="2"/>
      <c r="D814" s="2"/>
      <c r="E814" s="2"/>
      <c r="F814" s="2"/>
      <c r="G814" s="2"/>
      <c r="H814" s="2"/>
      <c r="I814" s="2"/>
      <c r="J814" s="2"/>
      <c r="K814" s="2"/>
      <c r="L814" s="2"/>
    </row>
    <row r="815" spans="1:12" x14ac:dyDescent="0.2">
      <c r="A815" s="2"/>
      <c r="B815" s="2"/>
      <c r="C815" s="2"/>
      <c r="D815" s="2"/>
      <c r="E815" s="2"/>
      <c r="F815" s="2"/>
      <c r="G815" s="2"/>
      <c r="H815" s="2"/>
      <c r="I815" s="2"/>
      <c r="J815" s="2"/>
      <c r="K815" s="2"/>
      <c r="L815" s="2"/>
    </row>
    <row r="816" spans="1:12" x14ac:dyDescent="0.2">
      <c r="A816" s="2"/>
      <c r="B816" s="2"/>
      <c r="C816" s="2"/>
      <c r="D816" s="2"/>
      <c r="E816" s="2"/>
      <c r="F816" s="2"/>
      <c r="G816" s="2"/>
      <c r="H816" s="2"/>
      <c r="I816" s="2"/>
      <c r="J816" s="2"/>
      <c r="K816" s="2"/>
      <c r="L816" s="2"/>
    </row>
    <row r="817" spans="1:12" x14ac:dyDescent="0.2">
      <c r="A817" s="2"/>
      <c r="B817" s="2"/>
      <c r="C817" s="2"/>
      <c r="D817" s="2"/>
      <c r="E817" s="2"/>
      <c r="F817" s="2"/>
      <c r="G817" s="2"/>
      <c r="H817" s="2"/>
      <c r="I817" s="2"/>
      <c r="J817" s="2"/>
      <c r="K817" s="2"/>
      <c r="L817" s="2"/>
    </row>
    <row r="818" spans="1:12" x14ac:dyDescent="0.2">
      <c r="A818" s="2"/>
      <c r="B818" s="2"/>
      <c r="C818" s="2"/>
      <c r="D818" s="2"/>
      <c r="E818" s="2"/>
      <c r="F818" s="2"/>
      <c r="G818" s="2"/>
      <c r="H818" s="2"/>
      <c r="I818" s="2"/>
      <c r="J818" s="2"/>
      <c r="K818" s="2"/>
      <c r="L818" s="2"/>
    </row>
    <row r="819" spans="1:12" x14ac:dyDescent="0.2">
      <c r="A819" s="2"/>
      <c r="B819" s="2"/>
      <c r="C819" s="2"/>
      <c r="D819" s="2"/>
      <c r="E819" s="2"/>
      <c r="F819" s="2"/>
      <c r="G819" s="2"/>
      <c r="H819" s="2"/>
      <c r="I819" s="2"/>
      <c r="J819" s="2"/>
      <c r="K819" s="2"/>
      <c r="L819" s="2"/>
    </row>
    <row r="820" spans="1:12" x14ac:dyDescent="0.2">
      <c r="A820" s="2"/>
      <c r="B820" s="2"/>
      <c r="C820" s="2"/>
      <c r="D820" s="2"/>
      <c r="E820" s="2"/>
      <c r="F820" s="2"/>
      <c r="G820" s="2"/>
      <c r="H820" s="2"/>
      <c r="I820" s="2"/>
      <c r="J820" s="2"/>
      <c r="K820" s="2"/>
      <c r="L820" s="2"/>
    </row>
    <row r="821" spans="1:12" x14ac:dyDescent="0.2">
      <c r="A821" s="2"/>
      <c r="B821" s="2"/>
      <c r="C821" s="2"/>
      <c r="D821" s="2"/>
      <c r="E821" s="2"/>
      <c r="F821" s="2"/>
      <c r="G821" s="2"/>
      <c r="H821" s="2"/>
      <c r="I821" s="2"/>
      <c r="J821" s="2"/>
      <c r="K821" s="2"/>
      <c r="L821" s="2"/>
    </row>
    <row r="822" spans="1:12" x14ac:dyDescent="0.2">
      <c r="A822" s="2"/>
      <c r="B822" s="2"/>
      <c r="C822" s="2"/>
      <c r="D822" s="2"/>
      <c r="E822" s="2"/>
      <c r="F822" s="2"/>
      <c r="G822" s="2"/>
      <c r="H822" s="2"/>
      <c r="I822" s="2"/>
      <c r="J822" s="2"/>
      <c r="K822" s="2"/>
      <c r="L822" s="2"/>
    </row>
    <row r="823" spans="1:12" x14ac:dyDescent="0.2">
      <c r="A823" s="2"/>
      <c r="B823" s="2"/>
      <c r="C823" s="2"/>
      <c r="D823" s="2"/>
      <c r="E823" s="2"/>
      <c r="F823" s="2"/>
      <c r="G823" s="2"/>
      <c r="H823" s="2"/>
      <c r="I823" s="2"/>
      <c r="J823" s="2"/>
      <c r="K823" s="2"/>
      <c r="L823" s="2"/>
    </row>
    <row r="824" spans="1:12" x14ac:dyDescent="0.2">
      <c r="A824" s="2"/>
      <c r="B824" s="2"/>
      <c r="C824" s="2"/>
      <c r="D824" s="2"/>
      <c r="E824" s="2"/>
      <c r="F824" s="2"/>
      <c r="G824" s="2"/>
      <c r="H824" s="2"/>
      <c r="I824" s="2"/>
      <c r="J824" s="2"/>
      <c r="K824" s="2"/>
      <c r="L824" s="2"/>
    </row>
    <row r="825" spans="1:12" x14ac:dyDescent="0.2">
      <c r="A825" s="2"/>
      <c r="B825" s="2"/>
      <c r="C825" s="2"/>
      <c r="D825" s="2"/>
      <c r="E825" s="2"/>
      <c r="F825" s="2"/>
      <c r="G825" s="2"/>
      <c r="H825" s="2"/>
      <c r="I825" s="2"/>
      <c r="J825" s="2"/>
      <c r="K825" s="2"/>
      <c r="L825" s="2"/>
    </row>
    <row r="826" spans="1:12" x14ac:dyDescent="0.2">
      <c r="A826" s="2"/>
      <c r="B826" s="2"/>
      <c r="C826" s="2"/>
      <c r="D826" s="2"/>
      <c r="E826" s="2"/>
      <c r="F826" s="2"/>
      <c r="G826" s="2"/>
      <c r="H826" s="2"/>
      <c r="I826" s="2"/>
      <c r="J826" s="2"/>
      <c r="K826" s="2"/>
      <c r="L826" s="2"/>
    </row>
    <row r="827" spans="1:12" x14ac:dyDescent="0.2">
      <c r="A827" s="2"/>
      <c r="B827" s="2"/>
      <c r="C827" s="2"/>
      <c r="D827" s="2"/>
      <c r="E827" s="2"/>
      <c r="F827" s="2"/>
      <c r="G827" s="2"/>
      <c r="H827" s="2"/>
      <c r="I827" s="2"/>
      <c r="J827" s="2"/>
      <c r="K827" s="2"/>
      <c r="L827" s="2"/>
    </row>
    <row r="828" spans="1:12" x14ac:dyDescent="0.2">
      <c r="A828" s="2"/>
      <c r="B828" s="2"/>
      <c r="C828" s="2"/>
      <c r="D828" s="2"/>
      <c r="E828" s="2"/>
      <c r="F828" s="2"/>
      <c r="G828" s="2"/>
      <c r="H828" s="2"/>
      <c r="I828" s="2"/>
      <c r="J828" s="2"/>
      <c r="K828" s="2"/>
      <c r="L828" s="2"/>
    </row>
    <row r="829" spans="1:12" x14ac:dyDescent="0.2">
      <c r="A829" s="2"/>
      <c r="B829" s="2"/>
      <c r="C829" s="2"/>
      <c r="D829" s="2"/>
      <c r="E829" s="2"/>
      <c r="F829" s="2"/>
      <c r="G829" s="2"/>
      <c r="H829" s="2"/>
      <c r="I829" s="2"/>
      <c r="J829" s="2"/>
      <c r="K829" s="2"/>
      <c r="L829" s="2"/>
    </row>
    <row r="830" spans="1:12" x14ac:dyDescent="0.2">
      <c r="A830" s="2"/>
      <c r="B830" s="2"/>
      <c r="C830" s="2"/>
      <c r="D830" s="2"/>
      <c r="E830" s="2"/>
      <c r="F830" s="2"/>
      <c r="G830" s="2"/>
      <c r="H830" s="2"/>
      <c r="I830" s="2"/>
      <c r="J830" s="2"/>
      <c r="K830" s="2"/>
      <c r="L830" s="2"/>
    </row>
    <row r="831" spans="1:12" x14ac:dyDescent="0.2">
      <c r="A831" s="2"/>
      <c r="B831" s="2"/>
      <c r="C831" s="2"/>
      <c r="D831" s="2"/>
      <c r="E831" s="2"/>
      <c r="F831" s="2"/>
      <c r="G831" s="2"/>
      <c r="H831" s="2"/>
      <c r="I831" s="2"/>
      <c r="J831" s="2"/>
      <c r="K831" s="2"/>
      <c r="L831" s="2"/>
    </row>
    <row r="832" spans="1:12" x14ac:dyDescent="0.2">
      <c r="A832" s="2"/>
      <c r="B832" s="2"/>
      <c r="C832" s="2"/>
      <c r="D832" s="2"/>
      <c r="E832" s="2"/>
      <c r="F832" s="2"/>
      <c r="G832" s="2"/>
      <c r="H832" s="2"/>
      <c r="I832" s="2"/>
      <c r="J832" s="2"/>
      <c r="K832" s="2"/>
      <c r="L832" s="2"/>
    </row>
    <row r="833" spans="1:12" x14ac:dyDescent="0.2">
      <c r="A833" s="2"/>
      <c r="B833" s="2"/>
      <c r="C833" s="2"/>
      <c r="D833" s="2"/>
      <c r="E833" s="2"/>
      <c r="F833" s="2"/>
      <c r="G833" s="2"/>
      <c r="H833" s="2"/>
      <c r="I833" s="2"/>
      <c r="J833" s="2"/>
      <c r="K833" s="2"/>
      <c r="L833" s="2"/>
    </row>
    <row r="834" spans="1:12" x14ac:dyDescent="0.2">
      <c r="A834" s="2"/>
      <c r="B834" s="2"/>
      <c r="C834" s="2"/>
      <c r="D834" s="2"/>
      <c r="E834" s="2"/>
      <c r="F834" s="2"/>
      <c r="G834" s="2"/>
      <c r="H834" s="2"/>
      <c r="I834" s="2"/>
      <c r="J834" s="2"/>
      <c r="K834" s="2"/>
      <c r="L834" s="2"/>
    </row>
    <row r="835" spans="1:12" x14ac:dyDescent="0.2">
      <c r="A835" s="2"/>
      <c r="B835" s="2"/>
      <c r="C835" s="2"/>
      <c r="D835" s="2"/>
      <c r="E835" s="2"/>
      <c r="F835" s="2"/>
      <c r="G835" s="2"/>
      <c r="H835" s="2"/>
      <c r="I835" s="2"/>
      <c r="J835" s="2"/>
      <c r="K835" s="2"/>
      <c r="L835" s="2"/>
    </row>
    <row r="836" spans="1:12" x14ac:dyDescent="0.2">
      <c r="A836" s="2"/>
      <c r="B836" s="2"/>
      <c r="C836" s="2"/>
      <c r="D836" s="2"/>
      <c r="E836" s="2"/>
      <c r="F836" s="2"/>
      <c r="G836" s="2"/>
      <c r="H836" s="2"/>
      <c r="I836" s="2"/>
      <c r="J836" s="2"/>
      <c r="K836" s="2"/>
      <c r="L836" s="2"/>
    </row>
    <row r="837" spans="1:12" x14ac:dyDescent="0.2">
      <c r="A837" s="2"/>
      <c r="B837" s="2"/>
      <c r="C837" s="2"/>
      <c r="D837" s="2"/>
      <c r="E837" s="2"/>
      <c r="F837" s="2"/>
      <c r="G837" s="2"/>
      <c r="H837" s="2"/>
      <c r="I837" s="2"/>
      <c r="J837" s="2"/>
      <c r="K837" s="2"/>
      <c r="L837" s="2"/>
    </row>
    <row r="838" spans="1:12" x14ac:dyDescent="0.2">
      <c r="A838" s="2"/>
      <c r="B838" s="2"/>
      <c r="C838" s="2"/>
      <c r="D838" s="2"/>
      <c r="E838" s="2"/>
      <c r="F838" s="2"/>
      <c r="G838" s="2"/>
      <c r="H838" s="2"/>
      <c r="I838" s="2"/>
      <c r="J838" s="2"/>
      <c r="K838" s="2"/>
      <c r="L838" s="2"/>
    </row>
    <row r="839" spans="1:12" x14ac:dyDescent="0.2">
      <c r="A839" s="2"/>
      <c r="B839" s="2"/>
      <c r="C839" s="2"/>
      <c r="D839" s="2"/>
      <c r="E839" s="2"/>
      <c r="F839" s="2"/>
      <c r="G839" s="2"/>
      <c r="H839" s="2"/>
      <c r="I839" s="2"/>
      <c r="J839" s="2"/>
      <c r="K839" s="2"/>
      <c r="L839" s="2"/>
    </row>
    <row r="840" spans="1:12" x14ac:dyDescent="0.2">
      <c r="A840" s="2"/>
      <c r="B840" s="2"/>
      <c r="C840" s="2"/>
      <c r="D840" s="2"/>
      <c r="E840" s="2"/>
      <c r="F840" s="2"/>
      <c r="G840" s="2"/>
      <c r="H840" s="2"/>
      <c r="I840" s="2"/>
      <c r="J840" s="2"/>
      <c r="K840" s="2"/>
      <c r="L840" s="2"/>
    </row>
    <row r="841" spans="1:12" x14ac:dyDescent="0.2">
      <c r="A841" s="2"/>
      <c r="B841" s="2"/>
      <c r="C841" s="2"/>
      <c r="D841" s="2"/>
      <c r="E841" s="2"/>
      <c r="F841" s="2"/>
      <c r="G841" s="2"/>
      <c r="H841" s="2"/>
      <c r="I841" s="2"/>
      <c r="J841" s="2"/>
      <c r="K841" s="2"/>
      <c r="L841" s="2"/>
    </row>
    <row r="842" spans="1:12" x14ac:dyDescent="0.2">
      <c r="A842" s="2"/>
      <c r="B842" s="2"/>
      <c r="C842" s="2"/>
      <c r="D842" s="2"/>
      <c r="E842" s="2"/>
      <c r="F842" s="2"/>
      <c r="G842" s="2"/>
      <c r="H842" s="2"/>
      <c r="I842" s="2"/>
      <c r="J842" s="2"/>
      <c r="K842" s="2"/>
      <c r="L842" s="2"/>
    </row>
    <row r="843" spans="1:12" x14ac:dyDescent="0.2">
      <c r="A843" s="2"/>
      <c r="B843" s="2"/>
      <c r="C843" s="2"/>
      <c r="D843" s="2"/>
      <c r="E843" s="2"/>
      <c r="F843" s="2"/>
      <c r="G843" s="2"/>
      <c r="H843" s="2"/>
      <c r="I843" s="2"/>
      <c r="J843" s="2"/>
      <c r="K843" s="2"/>
      <c r="L843" s="2"/>
    </row>
    <row r="844" spans="1:12" x14ac:dyDescent="0.2">
      <c r="A844" s="2"/>
      <c r="B844" s="2"/>
      <c r="C844" s="2"/>
      <c r="D844" s="2"/>
      <c r="E844" s="2"/>
      <c r="F844" s="2"/>
      <c r="G844" s="2"/>
      <c r="H844" s="2"/>
      <c r="I844" s="2"/>
      <c r="J844" s="2"/>
      <c r="K844" s="2"/>
      <c r="L844" s="2"/>
    </row>
    <row r="845" spans="1:12" x14ac:dyDescent="0.2">
      <c r="A845" s="2"/>
      <c r="B845" s="2"/>
      <c r="C845" s="2"/>
      <c r="D845" s="2"/>
      <c r="E845" s="2"/>
      <c r="F845" s="2"/>
      <c r="G845" s="2"/>
      <c r="H845" s="2"/>
      <c r="I845" s="2"/>
      <c r="J845" s="2"/>
      <c r="K845" s="2"/>
      <c r="L845" s="2"/>
    </row>
    <row r="846" spans="1:12" x14ac:dyDescent="0.2">
      <c r="A846" s="2"/>
      <c r="B846" s="2"/>
      <c r="C846" s="2"/>
      <c r="D846" s="2"/>
      <c r="E846" s="2"/>
      <c r="F846" s="2"/>
      <c r="G846" s="2"/>
      <c r="H846" s="2"/>
      <c r="I846" s="2"/>
      <c r="J846" s="2"/>
      <c r="K846" s="2"/>
      <c r="L846" s="2"/>
    </row>
    <row r="847" spans="1:12" x14ac:dyDescent="0.2">
      <c r="A847" s="2"/>
      <c r="B847" s="2"/>
      <c r="C847" s="2"/>
      <c r="D847" s="2"/>
      <c r="E847" s="2"/>
      <c r="F847" s="2"/>
      <c r="G847" s="2"/>
      <c r="H847" s="2"/>
      <c r="I847" s="2"/>
      <c r="J847" s="2"/>
      <c r="K847" s="2"/>
      <c r="L847" s="2"/>
    </row>
    <row r="848" spans="1:12" x14ac:dyDescent="0.2">
      <c r="A848" s="2"/>
      <c r="B848" s="2"/>
      <c r="C848" s="2"/>
      <c r="D848" s="2"/>
      <c r="E848" s="2"/>
      <c r="F848" s="2"/>
      <c r="G848" s="2"/>
      <c r="H848" s="2"/>
      <c r="I848" s="2"/>
      <c r="J848" s="2"/>
      <c r="K848" s="2"/>
      <c r="L848" s="2"/>
    </row>
    <row r="849" spans="1:12" x14ac:dyDescent="0.2">
      <c r="A849" s="2"/>
      <c r="B849" s="2"/>
      <c r="C849" s="2"/>
      <c r="D849" s="2"/>
      <c r="E849" s="2"/>
      <c r="F849" s="2"/>
      <c r="G849" s="2"/>
      <c r="H849" s="2"/>
      <c r="I849" s="2"/>
      <c r="J849" s="2"/>
      <c r="K849" s="2"/>
      <c r="L849" s="2"/>
    </row>
    <row r="850" spans="1:12" x14ac:dyDescent="0.2">
      <c r="A850" s="2"/>
      <c r="B850" s="2"/>
      <c r="C850" s="2"/>
      <c r="D850" s="2"/>
      <c r="E850" s="2"/>
      <c r="F850" s="2"/>
      <c r="G850" s="2"/>
      <c r="H850" s="2"/>
      <c r="I850" s="2"/>
      <c r="J850" s="2"/>
      <c r="K850" s="2"/>
      <c r="L850" s="2"/>
    </row>
    <row r="851" spans="1:12" x14ac:dyDescent="0.2">
      <c r="A851" s="2"/>
      <c r="B851" s="2"/>
      <c r="C851" s="2"/>
      <c r="D851" s="2"/>
      <c r="E851" s="2"/>
      <c r="F851" s="2"/>
      <c r="G851" s="2"/>
      <c r="H851" s="2"/>
      <c r="I851" s="2"/>
      <c r="J851" s="2"/>
      <c r="K851" s="2"/>
      <c r="L851" s="2"/>
    </row>
    <row r="852" spans="1:12" x14ac:dyDescent="0.2">
      <c r="A852" s="2"/>
      <c r="B852" s="2"/>
      <c r="C852" s="2"/>
      <c r="D852" s="2"/>
      <c r="E852" s="2"/>
      <c r="F852" s="2"/>
      <c r="G852" s="2"/>
      <c r="H852" s="2"/>
      <c r="I852" s="2"/>
      <c r="J852" s="2"/>
      <c r="K852" s="2"/>
      <c r="L852" s="2"/>
    </row>
    <row r="853" spans="1:12" x14ac:dyDescent="0.2">
      <c r="A853" s="2"/>
      <c r="B853" s="2"/>
      <c r="C853" s="2"/>
      <c r="D853" s="2"/>
      <c r="E853" s="2"/>
      <c r="F853" s="2"/>
      <c r="G853" s="2"/>
      <c r="H853" s="2"/>
      <c r="I853" s="2"/>
      <c r="J853" s="2"/>
      <c r="K853" s="2"/>
      <c r="L853" s="2"/>
    </row>
    <row r="854" spans="1:12" x14ac:dyDescent="0.2">
      <c r="A854" s="2"/>
      <c r="B854" s="2"/>
      <c r="C854" s="2"/>
      <c r="D854" s="2"/>
      <c r="E854" s="2"/>
      <c r="F854" s="2"/>
      <c r="G854" s="2"/>
      <c r="H854" s="2"/>
      <c r="I854" s="2"/>
      <c r="J854" s="2"/>
      <c r="K854" s="2"/>
      <c r="L854" s="2"/>
    </row>
    <row r="855" spans="1:12" x14ac:dyDescent="0.2">
      <c r="A855" s="2"/>
      <c r="B855" s="2"/>
      <c r="C855" s="2"/>
      <c r="D855" s="2"/>
      <c r="E855" s="2"/>
      <c r="F855" s="2"/>
      <c r="G855" s="2"/>
      <c r="H855" s="2"/>
      <c r="I855" s="2"/>
      <c r="J855" s="2"/>
      <c r="K855" s="2"/>
      <c r="L855" s="2"/>
    </row>
    <row r="856" spans="1:12" x14ac:dyDescent="0.2">
      <c r="A856" s="2"/>
      <c r="B856" s="2"/>
      <c r="C856" s="2"/>
      <c r="D856" s="2"/>
      <c r="E856" s="2"/>
      <c r="F856" s="2"/>
      <c r="G856" s="2"/>
      <c r="H856" s="2"/>
      <c r="I856" s="2"/>
      <c r="J856" s="2"/>
      <c r="K856" s="2"/>
      <c r="L856" s="2"/>
    </row>
    <row r="857" spans="1:12" x14ac:dyDescent="0.2">
      <c r="A857" s="2"/>
      <c r="B857" s="2"/>
      <c r="C857" s="2"/>
      <c r="D857" s="2"/>
      <c r="E857" s="2"/>
      <c r="F857" s="2"/>
      <c r="G857" s="2"/>
      <c r="H857" s="2"/>
      <c r="I857" s="2"/>
      <c r="J857" s="2"/>
      <c r="K857" s="2"/>
      <c r="L857" s="2"/>
    </row>
    <row r="858" spans="1:12" x14ac:dyDescent="0.2">
      <c r="A858" s="2"/>
      <c r="B858" s="2"/>
      <c r="C858" s="2"/>
      <c r="D858" s="2"/>
      <c r="E858" s="2"/>
      <c r="F858" s="2"/>
      <c r="G858" s="2"/>
      <c r="H858" s="2"/>
      <c r="I858" s="2"/>
      <c r="J858" s="2"/>
      <c r="K858" s="2"/>
      <c r="L858" s="2"/>
    </row>
    <row r="859" spans="1:12" x14ac:dyDescent="0.2">
      <c r="A859" s="2"/>
      <c r="B859" s="2"/>
      <c r="C859" s="2"/>
      <c r="D859" s="2"/>
      <c r="E859" s="2"/>
      <c r="F859" s="2"/>
      <c r="G859" s="2"/>
      <c r="H859" s="2"/>
      <c r="I859" s="2"/>
      <c r="J859" s="2"/>
      <c r="K859" s="2"/>
      <c r="L859" s="2"/>
    </row>
    <row r="860" spans="1:12" x14ac:dyDescent="0.2">
      <c r="A860" s="2"/>
      <c r="B860" s="2"/>
      <c r="C860" s="2"/>
      <c r="D860" s="2"/>
      <c r="E860" s="2"/>
      <c r="F860" s="2"/>
      <c r="G860" s="2"/>
      <c r="H860" s="2"/>
      <c r="I860" s="2"/>
      <c r="J860" s="2"/>
      <c r="K860" s="2"/>
      <c r="L860" s="2"/>
    </row>
    <row r="861" spans="1:12" x14ac:dyDescent="0.2">
      <c r="A861" s="2"/>
      <c r="B861" s="2"/>
      <c r="C861" s="2"/>
      <c r="D861" s="2"/>
      <c r="E861" s="2"/>
      <c r="F861" s="2"/>
      <c r="G861" s="2"/>
      <c r="H861" s="2"/>
      <c r="I861" s="2"/>
      <c r="J861" s="2"/>
      <c r="K861" s="2"/>
      <c r="L861" s="2"/>
    </row>
    <row r="862" spans="1:12" x14ac:dyDescent="0.2">
      <c r="A862" s="2"/>
      <c r="B862" s="2"/>
      <c r="C862" s="2"/>
      <c r="D862" s="2"/>
      <c r="E862" s="2"/>
      <c r="F862" s="2"/>
      <c r="G862" s="2"/>
      <c r="H862" s="2"/>
      <c r="I862" s="2"/>
      <c r="J862" s="2"/>
      <c r="K862" s="2"/>
      <c r="L862" s="2"/>
    </row>
    <row r="863" spans="1:12" x14ac:dyDescent="0.2">
      <c r="A863" s="2"/>
      <c r="B863" s="2"/>
      <c r="C863" s="2"/>
      <c r="D863" s="2"/>
      <c r="E863" s="2"/>
      <c r="F863" s="2"/>
      <c r="G863" s="2"/>
      <c r="H863" s="2"/>
      <c r="I863" s="2"/>
      <c r="J863" s="2"/>
      <c r="K863" s="2"/>
      <c r="L863" s="2"/>
    </row>
    <row r="864" spans="1:12" x14ac:dyDescent="0.2">
      <c r="A864" s="2"/>
      <c r="B864" s="2"/>
      <c r="C864" s="2"/>
      <c r="D864" s="2"/>
      <c r="E864" s="2"/>
      <c r="F864" s="2"/>
      <c r="G864" s="2"/>
      <c r="H864" s="2"/>
      <c r="I864" s="2"/>
      <c r="J864" s="2"/>
      <c r="K864" s="2"/>
      <c r="L864" s="2"/>
    </row>
    <row r="865" spans="1:12" x14ac:dyDescent="0.2">
      <c r="A865" s="2"/>
      <c r="B865" s="2"/>
      <c r="C865" s="2"/>
      <c r="D865" s="2"/>
      <c r="E865" s="2"/>
      <c r="F865" s="2"/>
      <c r="G865" s="2"/>
      <c r="H865" s="2"/>
      <c r="I865" s="2"/>
      <c r="J865" s="2"/>
      <c r="K865" s="2"/>
      <c r="L865" s="2"/>
    </row>
    <row r="866" spans="1:12" x14ac:dyDescent="0.2">
      <c r="A866" s="2"/>
      <c r="B866" s="2"/>
      <c r="C866" s="2"/>
      <c r="D866" s="2"/>
      <c r="E866" s="2"/>
      <c r="F866" s="2"/>
      <c r="G866" s="2"/>
      <c r="H866" s="2"/>
      <c r="I866" s="2"/>
      <c r="J866" s="2"/>
      <c r="K866" s="2"/>
      <c r="L866" s="2"/>
    </row>
    <row r="867" spans="1:12" x14ac:dyDescent="0.2">
      <c r="A867" s="2"/>
      <c r="B867" s="2"/>
      <c r="C867" s="2"/>
      <c r="D867" s="2"/>
      <c r="E867" s="2"/>
      <c r="F867" s="2"/>
      <c r="G867" s="2"/>
      <c r="H867" s="2"/>
      <c r="I867" s="2"/>
      <c r="J867" s="2"/>
      <c r="K867" s="2"/>
      <c r="L867" s="2"/>
    </row>
    <row r="868" spans="1:12" x14ac:dyDescent="0.2">
      <c r="A868" s="2"/>
      <c r="B868" s="2"/>
      <c r="C868" s="2"/>
      <c r="D868" s="2"/>
      <c r="E868" s="2"/>
      <c r="F868" s="2"/>
      <c r="G868" s="2"/>
      <c r="H868" s="2"/>
      <c r="I868" s="2"/>
      <c r="J868" s="2"/>
      <c r="K868" s="2"/>
      <c r="L868" s="2"/>
    </row>
    <row r="869" spans="1:12" x14ac:dyDescent="0.2">
      <c r="A869" s="2"/>
      <c r="B869" s="2"/>
      <c r="C869" s="2"/>
      <c r="D869" s="2"/>
      <c r="E869" s="2"/>
      <c r="F869" s="2"/>
      <c r="G869" s="2"/>
      <c r="H869" s="2"/>
      <c r="I869" s="2"/>
      <c r="J869" s="2"/>
      <c r="K869" s="2"/>
      <c r="L869" s="2"/>
    </row>
    <row r="870" spans="1:12" x14ac:dyDescent="0.2">
      <c r="A870" s="2"/>
      <c r="B870" s="2"/>
      <c r="C870" s="2"/>
      <c r="D870" s="2"/>
      <c r="E870" s="2"/>
      <c r="F870" s="2"/>
      <c r="G870" s="2"/>
      <c r="H870" s="2"/>
      <c r="I870" s="2"/>
      <c r="J870" s="2"/>
      <c r="K870" s="2"/>
      <c r="L870" s="2"/>
    </row>
    <row r="871" spans="1:12" x14ac:dyDescent="0.2">
      <c r="A871" s="2"/>
      <c r="B871" s="2"/>
      <c r="C871" s="2"/>
      <c r="D871" s="2"/>
      <c r="E871" s="2"/>
      <c r="F871" s="2"/>
      <c r="G871" s="2"/>
      <c r="H871" s="2"/>
      <c r="I871" s="2"/>
      <c r="J871" s="2"/>
      <c r="K871" s="2"/>
      <c r="L871" s="2"/>
    </row>
    <row r="872" spans="1:12" x14ac:dyDescent="0.2">
      <c r="A872" s="2"/>
      <c r="B872" s="2"/>
      <c r="C872" s="2"/>
      <c r="D872" s="2"/>
      <c r="E872" s="2"/>
      <c r="F872" s="2"/>
      <c r="G872" s="2"/>
      <c r="H872" s="2"/>
      <c r="I872" s="2"/>
      <c r="J872" s="2"/>
      <c r="K872" s="2"/>
      <c r="L872" s="2"/>
    </row>
    <row r="873" spans="1:12" x14ac:dyDescent="0.2">
      <c r="A873" s="2"/>
      <c r="B873" s="2"/>
      <c r="C873" s="2"/>
      <c r="D873" s="2"/>
      <c r="E873" s="2"/>
      <c r="F873" s="2"/>
      <c r="G873" s="2"/>
      <c r="H873" s="2"/>
      <c r="I873" s="2"/>
      <c r="J873" s="2"/>
      <c r="K873" s="2"/>
      <c r="L873" s="2"/>
    </row>
    <row r="874" spans="1:12" x14ac:dyDescent="0.2">
      <c r="A874" s="2"/>
      <c r="B874" s="2"/>
      <c r="C874" s="2"/>
      <c r="D874" s="2"/>
      <c r="E874" s="2"/>
      <c r="F874" s="2"/>
      <c r="G874" s="2"/>
      <c r="H874" s="2"/>
      <c r="I874" s="2"/>
      <c r="J874" s="2"/>
      <c r="K874" s="2"/>
      <c r="L874" s="2"/>
    </row>
    <row r="875" spans="1:12" x14ac:dyDescent="0.2">
      <c r="A875" s="2"/>
      <c r="B875" s="2"/>
      <c r="C875" s="2"/>
      <c r="D875" s="2"/>
      <c r="E875" s="2"/>
      <c r="F875" s="2"/>
      <c r="G875" s="2"/>
      <c r="H875" s="2"/>
      <c r="I875" s="2"/>
      <c r="J875" s="2"/>
      <c r="K875" s="2"/>
      <c r="L875" s="2"/>
    </row>
    <row r="876" spans="1:12" x14ac:dyDescent="0.2">
      <c r="A876" s="2"/>
      <c r="B876" s="2"/>
      <c r="C876" s="2"/>
      <c r="D876" s="2"/>
      <c r="E876" s="2"/>
      <c r="F876" s="2"/>
      <c r="G876" s="2"/>
      <c r="H876" s="2"/>
      <c r="I876" s="2"/>
      <c r="J876" s="2"/>
      <c r="K876" s="2"/>
      <c r="L876" s="2"/>
    </row>
    <row r="877" spans="1:12" x14ac:dyDescent="0.2">
      <c r="A877" s="2"/>
      <c r="B877" s="2"/>
      <c r="C877" s="2"/>
      <c r="D877" s="2"/>
      <c r="E877" s="2"/>
      <c r="F877" s="2"/>
      <c r="G877" s="2"/>
      <c r="H877" s="2"/>
      <c r="I877" s="2"/>
      <c r="J877" s="2"/>
      <c r="K877" s="2"/>
      <c r="L877" s="2"/>
    </row>
    <row r="878" spans="1:12" x14ac:dyDescent="0.2">
      <c r="A878" s="2"/>
      <c r="B878" s="2"/>
      <c r="C878" s="2"/>
      <c r="D878" s="2"/>
      <c r="E878" s="2"/>
      <c r="F878" s="2"/>
      <c r="G878" s="2"/>
      <c r="H878" s="2"/>
      <c r="I878" s="2"/>
      <c r="J878" s="2"/>
      <c r="K878" s="2"/>
      <c r="L878" s="2"/>
    </row>
    <row r="879" spans="1:12" x14ac:dyDescent="0.2">
      <c r="A879" s="2"/>
      <c r="B879" s="2"/>
      <c r="C879" s="2"/>
      <c r="D879" s="2"/>
      <c r="E879" s="2"/>
      <c r="F879" s="2"/>
      <c r="G879" s="2"/>
      <c r="H879" s="2"/>
      <c r="I879" s="2"/>
      <c r="J879" s="2"/>
      <c r="K879" s="2"/>
      <c r="L879" s="2"/>
    </row>
    <row r="880" spans="1:12" x14ac:dyDescent="0.2">
      <c r="A880" s="2"/>
      <c r="B880" s="2"/>
      <c r="C880" s="2"/>
      <c r="D880" s="2"/>
      <c r="E880" s="2"/>
      <c r="F880" s="2"/>
      <c r="G880" s="2"/>
      <c r="H880" s="2"/>
      <c r="I880" s="2"/>
      <c r="J880" s="2"/>
      <c r="K880" s="2"/>
      <c r="L880" s="2"/>
    </row>
    <row r="881" spans="1:12" x14ac:dyDescent="0.2">
      <c r="A881" s="2"/>
      <c r="B881" s="2"/>
      <c r="C881" s="2"/>
      <c r="D881" s="2"/>
      <c r="E881" s="2"/>
      <c r="F881" s="2"/>
      <c r="G881" s="2"/>
      <c r="H881" s="2"/>
      <c r="I881" s="2"/>
      <c r="J881" s="2"/>
      <c r="K881" s="2"/>
      <c r="L881" s="2"/>
    </row>
    <row r="882" spans="1:12" x14ac:dyDescent="0.2">
      <c r="A882" s="2"/>
      <c r="B882" s="2"/>
      <c r="C882" s="2"/>
      <c r="D882" s="2"/>
      <c r="E882" s="2"/>
      <c r="F882" s="2"/>
      <c r="G882" s="2"/>
      <c r="H882" s="2"/>
      <c r="I882" s="2"/>
      <c r="J882" s="2"/>
      <c r="K882" s="2"/>
      <c r="L882" s="2"/>
    </row>
    <row r="883" spans="1:12" x14ac:dyDescent="0.2">
      <c r="A883" s="2"/>
      <c r="B883" s="2"/>
      <c r="C883" s="2"/>
      <c r="D883" s="2"/>
      <c r="E883" s="2"/>
      <c r="F883" s="2"/>
      <c r="G883" s="2"/>
      <c r="H883" s="2"/>
      <c r="I883" s="2"/>
      <c r="J883" s="2"/>
      <c r="K883" s="2"/>
      <c r="L883" s="2"/>
    </row>
    <row r="884" spans="1:12" x14ac:dyDescent="0.2">
      <c r="A884" s="2"/>
      <c r="B884" s="2"/>
      <c r="C884" s="2"/>
      <c r="D884" s="2"/>
      <c r="E884" s="2"/>
      <c r="F884" s="2"/>
      <c r="G884" s="2"/>
      <c r="H884" s="2"/>
      <c r="I884" s="2"/>
      <c r="J884" s="2"/>
      <c r="K884" s="2"/>
      <c r="L884" s="2"/>
    </row>
    <row r="885" spans="1:12" x14ac:dyDescent="0.2">
      <c r="A885" s="2"/>
      <c r="B885" s="2"/>
      <c r="C885" s="2"/>
      <c r="D885" s="2"/>
      <c r="E885" s="2"/>
      <c r="F885" s="2"/>
      <c r="G885" s="2"/>
      <c r="H885" s="2"/>
      <c r="I885" s="2"/>
      <c r="J885" s="2"/>
      <c r="K885" s="2"/>
      <c r="L885" s="2"/>
    </row>
    <row r="886" spans="1:12" x14ac:dyDescent="0.2">
      <c r="A886" s="2"/>
      <c r="B886" s="2"/>
      <c r="C886" s="2"/>
      <c r="D886" s="2"/>
      <c r="E886" s="2"/>
      <c r="F886" s="2"/>
      <c r="G886" s="2"/>
      <c r="H886" s="2"/>
      <c r="I886" s="2"/>
      <c r="J886" s="2"/>
      <c r="K886" s="2"/>
      <c r="L886" s="2"/>
    </row>
    <row r="887" spans="1:12" x14ac:dyDescent="0.2">
      <c r="A887" s="2"/>
      <c r="B887" s="2"/>
      <c r="C887" s="2"/>
      <c r="D887" s="2"/>
      <c r="E887" s="2"/>
      <c r="F887" s="2"/>
      <c r="G887" s="2"/>
      <c r="H887" s="2"/>
      <c r="I887" s="2"/>
      <c r="J887" s="2"/>
      <c r="K887" s="2"/>
      <c r="L887" s="2"/>
    </row>
    <row r="888" spans="1:12" x14ac:dyDescent="0.2">
      <c r="A888" s="2"/>
      <c r="B888" s="2"/>
      <c r="C888" s="2"/>
      <c r="D888" s="2"/>
      <c r="E888" s="2"/>
      <c r="F888" s="2"/>
      <c r="G888" s="2"/>
      <c r="H888" s="2"/>
      <c r="I888" s="2"/>
      <c r="J888" s="2"/>
      <c r="K888" s="2"/>
      <c r="L888" s="2"/>
    </row>
    <row r="889" spans="1:12" x14ac:dyDescent="0.2">
      <c r="A889" s="2"/>
      <c r="B889" s="2"/>
      <c r="C889" s="2"/>
      <c r="D889" s="2"/>
      <c r="E889" s="2"/>
      <c r="F889" s="2"/>
      <c r="G889" s="2"/>
      <c r="H889" s="2"/>
      <c r="I889" s="2"/>
      <c r="J889" s="2"/>
      <c r="K889" s="2"/>
      <c r="L889" s="2"/>
    </row>
    <row r="890" spans="1:12" x14ac:dyDescent="0.2">
      <c r="A890" s="2"/>
      <c r="B890" s="2"/>
      <c r="C890" s="2"/>
      <c r="D890" s="2"/>
      <c r="E890" s="2"/>
      <c r="F890" s="2"/>
      <c r="G890" s="2"/>
      <c r="H890" s="2"/>
      <c r="I890" s="2"/>
      <c r="J890" s="2"/>
      <c r="K890" s="2"/>
      <c r="L890" s="2"/>
    </row>
    <row r="891" spans="1:12" x14ac:dyDescent="0.2">
      <c r="A891" s="2"/>
      <c r="B891" s="2"/>
      <c r="C891" s="2"/>
      <c r="D891" s="2"/>
      <c r="E891" s="2"/>
      <c r="F891" s="2"/>
      <c r="G891" s="2"/>
      <c r="H891" s="2"/>
      <c r="I891" s="2"/>
      <c r="J891" s="2"/>
      <c r="K891" s="2"/>
      <c r="L891" s="2"/>
    </row>
    <row r="892" spans="1:12" x14ac:dyDescent="0.2">
      <c r="A892" s="2"/>
      <c r="B892" s="2"/>
      <c r="C892" s="2"/>
      <c r="D892" s="2"/>
      <c r="E892" s="2"/>
      <c r="F892" s="2"/>
      <c r="G892" s="2"/>
      <c r="H892" s="2"/>
      <c r="I892" s="2"/>
      <c r="J892" s="2"/>
      <c r="K892" s="2"/>
      <c r="L892" s="2"/>
    </row>
    <row r="893" spans="1:12" x14ac:dyDescent="0.2">
      <c r="A893" s="2"/>
      <c r="B893" s="2"/>
      <c r="C893" s="2"/>
      <c r="D893" s="2"/>
      <c r="E893" s="2"/>
      <c r="F893" s="2"/>
      <c r="G893" s="2"/>
      <c r="H893" s="2"/>
      <c r="I893" s="2"/>
      <c r="J893" s="2"/>
      <c r="K893" s="2"/>
      <c r="L893" s="2"/>
    </row>
    <row r="894" spans="1:12" x14ac:dyDescent="0.2">
      <c r="A894" s="2"/>
      <c r="B894" s="2"/>
      <c r="C894" s="2"/>
      <c r="D894" s="2"/>
      <c r="E894" s="2"/>
      <c r="F894" s="2"/>
      <c r="G894" s="2"/>
      <c r="H894" s="2"/>
      <c r="I894" s="2"/>
      <c r="J894" s="2"/>
      <c r="K894" s="2"/>
      <c r="L894" s="2"/>
    </row>
    <row r="895" spans="1:12" x14ac:dyDescent="0.2">
      <c r="A895" s="2"/>
      <c r="B895" s="2"/>
      <c r="C895" s="2"/>
      <c r="D895" s="2"/>
      <c r="E895" s="2"/>
      <c r="F895" s="2"/>
      <c r="G895" s="2"/>
      <c r="H895" s="2"/>
      <c r="I895" s="2"/>
      <c r="J895" s="2"/>
      <c r="K895" s="2"/>
      <c r="L895" s="2"/>
    </row>
    <row r="896" spans="1:12" x14ac:dyDescent="0.2">
      <c r="A896" s="2"/>
      <c r="B896" s="2"/>
      <c r="C896" s="2"/>
      <c r="D896" s="2"/>
      <c r="E896" s="2"/>
      <c r="F896" s="2"/>
      <c r="G896" s="2"/>
      <c r="H896" s="2"/>
      <c r="I896" s="2"/>
      <c r="J896" s="2"/>
      <c r="K896" s="2"/>
      <c r="L896" s="2"/>
    </row>
    <row r="897" spans="1:12" x14ac:dyDescent="0.2">
      <c r="A897" s="2"/>
      <c r="B897" s="2"/>
      <c r="C897" s="2"/>
      <c r="D897" s="2"/>
      <c r="E897" s="2"/>
      <c r="F897" s="2"/>
      <c r="G897" s="2"/>
      <c r="H897" s="2"/>
      <c r="I897" s="2"/>
      <c r="J897" s="2"/>
      <c r="K897" s="2"/>
      <c r="L897" s="2"/>
    </row>
    <row r="898" spans="1:12" x14ac:dyDescent="0.2">
      <c r="A898" s="2"/>
      <c r="B898" s="2"/>
      <c r="C898" s="2"/>
      <c r="D898" s="2"/>
      <c r="E898" s="2"/>
      <c r="F898" s="2"/>
      <c r="G898" s="2"/>
      <c r="H898" s="2"/>
      <c r="I898" s="2"/>
      <c r="J898" s="2"/>
      <c r="K898" s="2"/>
      <c r="L898" s="2"/>
    </row>
    <row r="899" spans="1:12" x14ac:dyDescent="0.2">
      <c r="A899" s="2"/>
      <c r="B899" s="2"/>
      <c r="C899" s="2"/>
      <c r="D899" s="2"/>
      <c r="E899" s="2"/>
      <c r="F899" s="2"/>
      <c r="G899" s="2"/>
      <c r="H899" s="2"/>
      <c r="I899" s="2"/>
      <c r="J899" s="2"/>
      <c r="K899" s="2"/>
      <c r="L899" s="2"/>
    </row>
    <row r="900" spans="1:12" x14ac:dyDescent="0.2">
      <c r="A900" s="2"/>
      <c r="B900" s="2"/>
      <c r="C900" s="2"/>
      <c r="D900" s="2"/>
      <c r="E900" s="2"/>
      <c r="F900" s="2"/>
      <c r="G900" s="2"/>
      <c r="H900" s="2"/>
      <c r="I900" s="2"/>
      <c r="J900" s="2"/>
      <c r="K900" s="2"/>
      <c r="L900" s="2"/>
    </row>
    <row r="901" spans="1:12" x14ac:dyDescent="0.2">
      <c r="A901" s="2"/>
      <c r="B901" s="2"/>
      <c r="C901" s="2"/>
      <c r="D901" s="2"/>
      <c r="E901" s="2"/>
      <c r="F901" s="2"/>
      <c r="G901" s="2"/>
      <c r="H901" s="2"/>
      <c r="I901" s="2"/>
      <c r="J901" s="2"/>
      <c r="K901" s="2"/>
      <c r="L901" s="2"/>
    </row>
    <row r="902" spans="1:12" x14ac:dyDescent="0.2">
      <c r="A902" s="2"/>
      <c r="B902" s="2"/>
      <c r="C902" s="2"/>
      <c r="D902" s="2"/>
      <c r="E902" s="2"/>
      <c r="F902" s="2"/>
      <c r="G902" s="2"/>
      <c r="H902" s="2"/>
      <c r="I902" s="2"/>
      <c r="J902" s="2"/>
      <c r="K902" s="2"/>
      <c r="L902" s="2"/>
    </row>
    <row r="903" spans="1:12" x14ac:dyDescent="0.2">
      <c r="A903" s="2"/>
      <c r="B903" s="2"/>
      <c r="C903" s="2"/>
      <c r="D903" s="2"/>
      <c r="E903" s="2"/>
      <c r="F903" s="2"/>
      <c r="G903" s="2"/>
      <c r="H903" s="2"/>
      <c r="I903" s="2"/>
      <c r="J903" s="2"/>
      <c r="K903" s="2"/>
      <c r="L903" s="2"/>
    </row>
    <row r="904" spans="1:12" x14ac:dyDescent="0.2">
      <c r="A904" s="2"/>
      <c r="B904" s="2"/>
      <c r="C904" s="2"/>
      <c r="D904" s="2"/>
      <c r="E904" s="2"/>
      <c r="F904" s="2"/>
      <c r="G904" s="2"/>
      <c r="H904" s="2"/>
      <c r="I904" s="2"/>
      <c r="J904" s="2"/>
      <c r="K904" s="2"/>
      <c r="L904" s="2"/>
    </row>
    <row r="905" spans="1:12" x14ac:dyDescent="0.2">
      <c r="A905" s="2"/>
      <c r="B905" s="2"/>
      <c r="C905" s="2"/>
      <c r="D905" s="2"/>
      <c r="E905" s="2"/>
      <c r="F905" s="2"/>
      <c r="G905" s="2"/>
      <c r="H905" s="2"/>
      <c r="I905" s="2"/>
      <c r="J905" s="2"/>
      <c r="K905" s="2"/>
      <c r="L905" s="2"/>
    </row>
    <row r="906" spans="1:12" x14ac:dyDescent="0.2">
      <c r="A906" s="2"/>
      <c r="B906" s="2"/>
      <c r="C906" s="2"/>
      <c r="D906" s="2"/>
      <c r="E906" s="2"/>
      <c r="F906" s="2"/>
      <c r="G906" s="2"/>
      <c r="H906" s="2"/>
      <c r="I906" s="2"/>
      <c r="J906" s="2"/>
      <c r="K906" s="2"/>
      <c r="L906" s="2"/>
    </row>
    <row r="907" spans="1:12" x14ac:dyDescent="0.2">
      <c r="A907" s="2"/>
      <c r="B907" s="2"/>
      <c r="C907" s="2"/>
      <c r="D907" s="2"/>
      <c r="E907" s="2"/>
      <c r="F907" s="2"/>
      <c r="G907" s="2"/>
      <c r="H907" s="2"/>
      <c r="I907" s="2"/>
      <c r="J907" s="2"/>
      <c r="K907" s="2"/>
      <c r="L907" s="2"/>
    </row>
    <row r="908" spans="1:12" x14ac:dyDescent="0.2">
      <c r="A908" s="2"/>
      <c r="B908" s="2"/>
      <c r="C908" s="2"/>
      <c r="D908" s="2"/>
      <c r="E908" s="2"/>
      <c r="F908" s="2"/>
      <c r="G908" s="2"/>
      <c r="H908" s="2"/>
      <c r="I908" s="2"/>
      <c r="J908" s="2"/>
      <c r="K908" s="2"/>
      <c r="L908" s="2"/>
    </row>
    <row r="909" spans="1:12" x14ac:dyDescent="0.2">
      <c r="A909" s="2"/>
      <c r="B909" s="2"/>
      <c r="C909" s="2"/>
      <c r="D909" s="2"/>
      <c r="E909" s="2"/>
      <c r="F909" s="2"/>
      <c r="G909" s="2"/>
      <c r="H909" s="2"/>
      <c r="I909" s="2"/>
      <c r="J909" s="2"/>
      <c r="K909" s="2"/>
      <c r="L909" s="2"/>
    </row>
    <row r="910" spans="1:12" x14ac:dyDescent="0.2">
      <c r="A910" s="2"/>
      <c r="B910" s="2"/>
      <c r="C910" s="2"/>
      <c r="D910" s="2"/>
      <c r="E910" s="2"/>
      <c r="F910" s="2"/>
      <c r="G910" s="2"/>
      <c r="H910" s="2"/>
      <c r="I910" s="2"/>
      <c r="J910" s="2"/>
      <c r="K910" s="2"/>
      <c r="L910" s="2"/>
    </row>
    <row r="911" spans="1:12" x14ac:dyDescent="0.2">
      <c r="A911" s="2"/>
      <c r="B911" s="2"/>
      <c r="C911" s="2"/>
      <c r="D911" s="2"/>
      <c r="E911" s="2"/>
      <c r="F911" s="2"/>
      <c r="G911" s="2"/>
      <c r="H911" s="2"/>
      <c r="I911" s="2"/>
      <c r="J911" s="2"/>
      <c r="K911" s="2"/>
      <c r="L911" s="2"/>
    </row>
    <row r="912" spans="1:12" x14ac:dyDescent="0.2">
      <c r="A912" s="2"/>
      <c r="B912" s="2"/>
      <c r="C912" s="2"/>
      <c r="D912" s="2"/>
      <c r="E912" s="2"/>
      <c r="F912" s="2"/>
      <c r="G912" s="2"/>
      <c r="H912" s="2"/>
      <c r="I912" s="2"/>
      <c r="J912" s="2"/>
      <c r="K912" s="2"/>
      <c r="L912" s="2"/>
    </row>
    <row r="913" spans="1:12" x14ac:dyDescent="0.2">
      <c r="A913" s="2"/>
      <c r="B913" s="2"/>
      <c r="C913" s="2"/>
      <c r="D913" s="2"/>
      <c r="E913" s="2"/>
      <c r="F913" s="2"/>
      <c r="G913" s="2"/>
      <c r="H913" s="2"/>
      <c r="I913" s="2"/>
      <c r="J913" s="2"/>
      <c r="K913" s="2"/>
      <c r="L913" s="2"/>
    </row>
    <row r="914" spans="1:12" x14ac:dyDescent="0.2">
      <c r="A914" s="2"/>
      <c r="B914" s="2"/>
      <c r="C914" s="2"/>
      <c r="D914" s="2"/>
      <c r="E914" s="2"/>
      <c r="F914" s="2"/>
      <c r="G914" s="2"/>
      <c r="H914" s="2"/>
      <c r="I914" s="2"/>
      <c r="J914" s="2"/>
      <c r="K914" s="2"/>
      <c r="L914" s="2"/>
    </row>
    <row r="915" spans="1:12" x14ac:dyDescent="0.2">
      <c r="A915" s="2"/>
      <c r="B915" s="2"/>
      <c r="C915" s="2"/>
      <c r="D915" s="2"/>
      <c r="E915" s="2"/>
      <c r="F915" s="2"/>
      <c r="G915" s="2"/>
      <c r="H915" s="2"/>
      <c r="I915" s="2"/>
      <c r="J915" s="2"/>
      <c r="K915" s="2"/>
      <c r="L915" s="2"/>
    </row>
    <row r="916" spans="1:12" x14ac:dyDescent="0.2">
      <c r="A916" s="2"/>
      <c r="B916" s="2"/>
      <c r="C916" s="2"/>
      <c r="D916" s="2"/>
      <c r="E916" s="2"/>
      <c r="F916" s="2"/>
      <c r="G916" s="2"/>
      <c r="H916" s="2"/>
      <c r="I916" s="2"/>
      <c r="J916" s="2"/>
      <c r="K916" s="2"/>
      <c r="L916" s="2"/>
    </row>
    <row r="917" spans="1:12" x14ac:dyDescent="0.2">
      <c r="A917" s="2"/>
      <c r="B917" s="2"/>
      <c r="C917" s="2"/>
      <c r="D917" s="2"/>
      <c r="E917" s="2"/>
      <c r="F917" s="2"/>
      <c r="G917" s="2"/>
      <c r="H917" s="2"/>
      <c r="I917" s="2"/>
      <c r="J917" s="2"/>
      <c r="K917" s="2"/>
      <c r="L917" s="2"/>
    </row>
    <row r="918" spans="1:12" x14ac:dyDescent="0.2">
      <c r="A918" s="2"/>
      <c r="B918" s="2"/>
      <c r="C918" s="2"/>
      <c r="D918" s="2"/>
      <c r="E918" s="2"/>
      <c r="F918" s="2"/>
      <c r="G918" s="2"/>
      <c r="H918" s="2"/>
      <c r="I918" s="2"/>
      <c r="J918" s="2"/>
      <c r="K918" s="2"/>
      <c r="L918" s="2"/>
    </row>
    <row r="919" spans="1:12" x14ac:dyDescent="0.2">
      <c r="A919" s="2"/>
      <c r="B919" s="2"/>
      <c r="C919" s="2"/>
      <c r="D919" s="2"/>
      <c r="E919" s="2"/>
      <c r="F919" s="2"/>
      <c r="G919" s="2"/>
      <c r="H919" s="2"/>
      <c r="I919" s="2"/>
      <c r="J919" s="2"/>
      <c r="K919" s="2"/>
      <c r="L919" s="2"/>
    </row>
    <row r="920" spans="1:12" x14ac:dyDescent="0.2">
      <c r="A920" s="2"/>
      <c r="B920" s="2"/>
      <c r="C920" s="2"/>
      <c r="D920" s="2"/>
      <c r="E920" s="2"/>
      <c r="F920" s="2"/>
      <c r="G920" s="2"/>
      <c r="H920" s="2"/>
      <c r="I920" s="2"/>
      <c r="J920" s="2"/>
      <c r="K920" s="2"/>
      <c r="L920" s="2"/>
    </row>
    <row r="921" spans="1:12" x14ac:dyDescent="0.2">
      <c r="A921" s="2"/>
      <c r="B921" s="2"/>
      <c r="C921" s="2"/>
      <c r="D921" s="2"/>
      <c r="E921" s="2"/>
      <c r="F921" s="2"/>
      <c r="G921" s="2"/>
      <c r="H921" s="2"/>
      <c r="I921" s="2"/>
      <c r="J921" s="2"/>
      <c r="K921" s="2"/>
      <c r="L921" s="2"/>
    </row>
    <row r="922" spans="1:12" x14ac:dyDescent="0.2">
      <c r="A922" s="2"/>
      <c r="B922" s="2"/>
      <c r="C922" s="2"/>
      <c r="D922" s="2"/>
      <c r="E922" s="2"/>
      <c r="F922" s="2"/>
      <c r="G922" s="2"/>
      <c r="H922" s="2"/>
      <c r="I922" s="2"/>
      <c r="J922" s="2"/>
      <c r="K922" s="2"/>
      <c r="L922" s="2"/>
    </row>
    <row r="923" spans="1:12" x14ac:dyDescent="0.2">
      <c r="A923" s="2"/>
      <c r="B923" s="2"/>
      <c r="C923" s="2"/>
      <c r="D923" s="2"/>
      <c r="E923" s="2"/>
      <c r="F923" s="2"/>
      <c r="G923" s="2"/>
      <c r="H923" s="2"/>
      <c r="I923" s="2"/>
      <c r="J923" s="2"/>
      <c r="K923" s="2"/>
      <c r="L923" s="2"/>
    </row>
    <row r="924" spans="1:12" x14ac:dyDescent="0.2">
      <c r="A924" s="2"/>
      <c r="B924" s="2"/>
      <c r="C924" s="2"/>
      <c r="D924" s="2"/>
      <c r="E924" s="2"/>
      <c r="F924" s="2"/>
      <c r="G924" s="2"/>
      <c r="H924" s="2"/>
      <c r="I924" s="2"/>
      <c r="J924" s="2"/>
      <c r="K924" s="2"/>
      <c r="L924" s="2"/>
    </row>
    <row r="925" spans="1:12" x14ac:dyDescent="0.2">
      <c r="A925" s="2"/>
      <c r="B925" s="2"/>
      <c r="C925" s="2"/>
      <c r="D925" s="2"/>
      <c r="E925" s="2"/>
      <c r="F925" s="2"/>
      <c r="G925" s="2"/>
      <c r="H925" s="2"/>
      <c r="I925" s="2"/>
      <c r="J925" s="2"/>
      <c r="K925" s="2"/>
      <c r="L925" s="2"/>
    </row>
    <row r="926" spans="1:12" x14ac:dyDescent="0.2">
      <c r="A926" s="2"/>
      <c r="B926" s="2"/>
      <c r="C926" s="2"/>
      <c r="D926" s="2"/>
      <c r="E926" s="2"/>
      <c r="F926" s="2"/>
      <c r="G926" s="2"/>
      <c r="H926" s="2"/>
      <c r="I926" s="2"/>
      <c r="J926" s="2"/>
      <c r="K926" s="2"/>
      <c r="L926" s="2"/>
    </row>
    <row r="927" spans="1:12" x14ac:dyDescent="0.2">
      <c r="A927" s="2"/>
      <c r="B927" s="2"/>
      <c r="C927" s="2"/>
      <c r="D927" s="2"/>
      <c r="E927" s="2"/>
      <c r="F927" s="2"/>
      <c r="G927" s="2"/>
      <c r="H927" s="2"/>
      <c r="I927" s="2"/>
      <c r="J927" s="2"/>
      <c r="K927" s="2"/>
      <c r="L927" s="2"/>
    </row>
    <row r="928" spans="1:12" x14ac:dyDescent="0.2">
      <c r="A928" s="2"/>
      <c r="B928" s="2"/>
      <c r="C928" s="2"/>
      <c r="D928" s="2"/>
      <c r="E928" s="2"/>
      <c r="F928" s="2"/>
      <c r="G928" s="2"/>
      <c r="H928" s="2"/>
      <c r="I928" s="2"/>
      <c r="J928" s="2"/>
      <c r="K928" s="2"/>
      <c r="L928" s="2"/>
    </row>
    <row r="929" spans="1:12" x14ac:dyDescent="0.2">
      <c r="A929" s="2"/>
      <c r="B929" s="2"/>
      <c r="C929" s="2"/>
      <c r="D929" s="2"/>
      <c r="E929" s="2"/>
      <c r="F929" s="2"/>
      <c r="G929" s="2"/>
      <c r="H929" s="2"/>
      <c r="I929" s="2"/>
      <c r="J929" s="2"/>
      <c r="K929" s="2"/>
      <c r="L929" s="2"/>
    </row>
    <row r="930" spans="1:12" x14ac:dyDescent="0.2">
      <c r="A930" s="2"/>
      <c r="B930" s="2"/>
      <c r="C930" s="2"/>
      <c r="D930" s="2"/>
      <c r="E930" s="2"/>
      <c r="F930" s="2"/>
      <c r="G930" s="2"/>
      <c r="H930" s="2"/>
      <c r="I930" s="2"/>
      <c r="J930" s="2"/>
      <c r="K930" s="2"/>
      <c r="L930" s="2"/>
    </row>
    <row r="931" spans="1:12" x14ac:dyDescent="0.2">
      <c r="A931" s="2"/>
      <c r="B931" s="2"/>
      <c r="C931" s="2"/>
      <c r="D931" s="2"/>
      <c r="E931" s="2"/>
      <c r="F931" s="2"/>
      <c r="G931" s="2"/>
      <c r="H931" s="2"/>
      <c r="I931" s="2"/>
      <c r="J931" s="2"/>
      <c r="K931" s="2"/>
      <c r="L931" s="2"/>
    </row>
    <row r="932" spans="1:12" x14ac:dyDescent="0.2">
      <c r="A932" s="2"/>
      <c r="B932" s="2"/>
      <c r="C932" s="2"/>
      <c r="D932" s="2"/>
      <c r="E932" s="2"/>
      <c r="F932" s="2"/>
      <c r="G932" s="2"/>
      <c r="H932" s="2"/>
      <c r="I932" s="2"/>
      <c r="J932" s="2"/>
      <c r="K932" s="2"/>
      <c r="L932" s="2"/>
    </row>
    <row r="933" spans="1:12" x14ac:dyDescent="0.2">
      <c r="A933" s="2"/>
      <c r="B933" s="2"/>
      <c r="C933" s="2"/>
      <c r="D933" s="2"/>
      <c r="E933" s="2"/>
      <c r="F933" s="2"/>
      <c r="G933" s="2"/>
      <c r="H933" s="2"/>
      <c r="I933" s="2"/>
      <c r="J933" s="2"/>
      <c r="K933" s="2"/>
      <c r="L933" s="2"/>
    </row>
    <row r="934" spans="1:12" x14ac:dyDescent="0.2">
      <c r="A934" s="2"/>
      <c r="B934" s="2"/>
      <c r="C934" s="2"/>
      <c r="D934" s="2"/>
      <c r="E934" s="2"/>
      <c r="F934" s="2"/>
      <c r="G934" s="2"/>
      <c r="H934" s="2"/>
      <c r="I934" s="2"/>
      <c r="J934" s="2"/>
      <c r="K934" s="2"/>
      <c r="L934" s="2"/>
    </row>
    <row r="935" spans="1:12" x14ac:dyDescent="0.2">
      <c r="A935" s="2"/>
      <c r="B935" s="2"/>
      <c r="C935" s="2"/>
      <c r="D935" s="2"/>
      <c r="E935" s="2"/>
      <c r="F935" s="2"/>
      <c r="G935" s="2"/>
      <c r="H935" s="2"/>
      <c r="I935" s="2"/>
      <c r="J935" s="2"/>
      <c r="K935" s="2"/>
      <c r="L935" s="2"/>
    </row>
    <row r="936" spans="1:12" x14ac:dyDescent="0.2">
      <c r="A936" s="2"/>
      <c r="B936" s="2"/>
      <c r="C936" s="2"/>
      <c r="D936" s="2"/>
      <c r="E936" s="2"/>
      <c r="F936" s="2"/>
      <c r="G936" s="2"/>
      <c r="H936" s="2"/>
      <c r="I936" s="2"/>
      <c r="J936" s="2"/>
      <c r="K936" s="2"/>
      <c r="L936" s="2"/>
    </row>
    <row r="937" spans="1:12" x14ac:dyDescent="0.2">
      <c r="A937" s="2"/>
      <c r="B937" s="2"/>
      <c r="C937" s="2"/>
      <c r="D937" s="2"/>
      <c r="E937" s="2"/>
      <c r="F937" s="2"/>
      <c r="G937" s="2"/>
      <c r="H937" s="2"/>
      <c r="I937" s="2"/>
      <c r="J937" s="2"/>
      <c r="K937" s="2"/>
      <c r="L937" s="2"/>
    </row>
    <row r="938" spans="1:12" x14ac:dyDescent="0.2">
      <c r="A938" s="2"/>
      <c r="B938" s="2"/>
      <c r="C938" s="2"/>
      <c r="D938" s="2"/>
      <c r="E938" s="2"/>
      <c r="F938" s="2"/>
      <c r="G938" s="2"/>
      <c r="H938" s="2"/>
      <c r="I938" s="2"/>
      <c r="J938" s="2"/>
      <c r="K938" s="2"/>
      <c r="L938" s="2"/>
    </row>
    <row r="939" spans="1:12" x14ac:dyDescent="0.2">
      <c r="A939" s="2"/>
      <c r="B939" s="2"/>
      <c r="C939" s="2"/>
      <c r="D939" s="2"/>
      <c r="E939" s="2"/>
      <c r="F939" s="2"/>
      <c r="G939" s="2"/>
      <c r="H939" s="2"/>
      <c r="I939" s="2"/>
      <c r="J939" s="2"/>
      <c r="K939" s="2"/>
      <c r="L939" s="2"/>
    </row>
    <row r="940" spans="1:12" x14ac:dyDescent="0.2">
      <c r="A940" s="2"/>
      <c r="B940" s="2"/>
      <c r="C940" s="2"/>
      <c r="D940" s="2"/>
      <c r="E940" s="2"/>
      <c r="F940" s="2"/>
      <c r="G940" s="2"/>
      <c r="H940" s="2"/>
      <c r="I940" s="2"/>
      <c r="J940" s="2"/>
      <c r="K940" s="2"/>
      <c r="L940" s="2"/>
    </row>
    <row r="941" spans="1:12" x14ac:dyDescent="0.2">
      <c r="A941" s="2"/>
      <c r="B941" s="2"/>
      <c r="C941" s="2"/>
      <c r="D941" s="2"/>
      <c r="E941" s="2"/>
      <c r="F941" s="2"/>
      <c r="G941" s="2"/>
      <c r="H941" s="2"/>
      <c r="I941" s="2"/>
      <c r="J941" s="2"/>
      <c r="K941" s="2"/>
      <c r="L941" s="2"/>
    </row>
    <row r="942" spans="1:12" x14ac:dyDescent="0.2">
      <c r="A942" s="2"/>
      <c r="B942" s="2"/>
      <c r="C942" s="2"/>
      <c r="D942" s="2"/>
      <c r="E942" s="2"/>
      <c r="F942" s="2"/>
      <c r="G942" s="2"/>
      <c r="H942" s="2"/>
      <c r="I942" s="2"/>
      <c r="J942" s="2"/>
      <c r="K942" s="2"/>
      <c r="L942" s="2"/>
    </row>
    <row r="943" spans="1:12" x14ac:dyDescent="0.2">
      <c r="A943" s="2"/>
      <c r="B943" s="2"/>
      <c r="C943" s="2"/>
      <c r="D943" s="2"/>
      <c r="E943" s="2"/>
      <c r="F943" s="2"/>
      <c r="G943" s="2"/>
      <c r="H943" s="2"/>
      <c r="I943" s="2"/>
      <c r="J943" s="2"/>
      <c r="K943" s="2"/>
      <c r="L943" s="2"/>
    </row>
    <row r="944" spans="1:12" x14ac:dyDescent="0.2">
      <c r="A944" s="2"/>
      <c r="B944" s="2"/>
      <c r="C944" s="2"/>
      <c r="D944" s="2"/>
      <c r="E944" s="2"/>
      <c r="F944" s="2"/>
      <c r="G944" s="2"/>
      <c r="H944" s="2"/>
      <c r="I944" s="2"/>
      <c r="J944" s="2"/>
      <c r="K944" s="2"/>
      <c r="L944" s="2"/>
    </row>
    <row r="945" spans="1:12" x14ac:dyDescent="0.2">
      <c r="A945" s="2"/>
      <c r="B945" s="2"/>
      <c r="C945" s="2"/>
      <c r="D945" s="2"/>
      <c r="E945" s="2"/>
      <c r="F945" s="2"/>
      <c r="G945" s="2"/>
      <c r="H945" s="2"/>
      <c r="I945" s="2"/>
      <c r="J945" s="2"/>
      <c r="K945" s="2"/>
      <c r="L945" s="2"/>
    </row>
    <row r="946" spans="1:12" x14ac:dyDescent="0.2">
      <c r="A946" s="2"/>
      <c r="B946" s="2"/>
      <c r="C946" s="2"/>
      <c r="D946" s="2"/>
      <c r="E946" s="2"/>
      <c r="F946" s="2"/>
      <c r="G946" s="2"/>
      <c r="H946" s="2"/>
      <c r="I946" s="2"/>
      <c r="J946" s="2"/>
      <c r="K946" s="2"/>
      <c r="L946" s="2"/>
    </row>
    <row r="947" spans="1:12" x14ac:dyDescent="0.2">
      <c r="A947" s="2"/>
      <c r="B947" s="2"/>
      <c r="C947" s="2"/>
      <c r="D947" s="2"/>
      <c r="E947" s="2"/>
      <c r="F947" s="2"/>
      <c r="G947" s="2"/>
      <c r="H947" s="2"/>
      <c r="I947" s="2"/>
      <c r="J947" s="2"/>
      <c r="K947" s="2"/>
      <c r="L947" s="2"/>
    </row>
    <row r="948" spans="1:12" x14ac:dyDescent="0.2">
      <c r="A948" s="2"/>
      <c r="B948" s="2"/>
      <c r="C948" s="2"/>
      <c r="D948" s="2"/>
      <c r="E948" s="2"/>
      <c r="F948" s="2"/>
      <c r="G948" s="2"/>
      <c r="H948" s="2"/>
      <c r="I948" s="2"/>
      <c r="J948" s="2"/>
      <c r="K948" s="2"/>
      <c r="L948" s="2"/>
    </row>
    <row r="949" spans="1:12" x14ac:dyDescent="0.2">
      <c r="A949" s="2"/>
      <c r="B949" s="2"/>
      <c r="C949" s="2"/>
      <c r="D949" s="2"/>
      <c r="E949" s="2"/>
      <c r="F949" s="2"/>
      <c r="G949" s="2"/>
      <c r="H949" s="2"/>
      <c r="I949" s="2"/>
      <c r="J949" s="2"/>
      <c r="K949" s="2"/>
      <c r="L949" s="2"/>
    </row>
    <row r="950" spans="1:12" x14ac:dyDescent="0.2">
      <c r="A950" s="2"/>
      <c r="B950" s="2"/>
      <c r="C950" s="2"/>
      <c r="D950" s="2"/>
      <c r="E950" s="2"/>
      <c r="F950" s="2"/>
      <c r="G950" s="2"/>
      <c r="H950" s="2"/>
      <c r="I950" s="2"/>
      <c r="J950" s="2"/>
      <c r="K950" s="2"/>
      <c r="L950" s="2"/>
    </row>
    <row r="951" spans="1:12" x14ac:dyDescent="0.2">
      <c r="A951" s="2"/>
      <c r="B951" s="2"/>
      <c r="C951" s="2"/>
      <c r="D951" s="2"/>
      <c r="E951" s="2"/>
      <c r="F951" s="2"/>
      <c r="G951" s="2"/>
      <c r="H951" s="2"/>
      <c r="I951" s="2"/>
      <c r="J951" s="2"/>
      <c r="K951" s="2"/>
      <c r="L951" s="2"/>
    </row>
    <row r="952" spans="1:12" x14ac:dyDescent="0.2">
      <c r="A952" s="2"/>
      <c r="B952" s="2"/>
      <c r="C952" s="2"/>
      <c r="D952" s="2"/>
      <c r="E952" s="2"/>
      <c r="F952" s="2"/>
      <c r="G952" s="2"/>
      <c r="H952" s="2"/>
      <c r="I952" s="2"/>
      <c r="J952" s="2"/>
      <c r="K952" s="2"/>
      <c r="L952" s="2"/>
    </row>
    <row r="953" spans="1:12" x14ac:dyDescent="0.2">
      <c r="A953" s="2"/>
      <c r="B953" s="2"/>
      <c r="C953" s="2"/>
      <c r="D953" s="2"/>
      <c r="E953" s="2"/>
      <c r="F953" s="2"/>
      <c r="G953" s="2"/>
      <c r="H953" s="2"/>
      <c r="I953" s="2"/>
      <c r="J953" s="2"/>
      <c r="K953" s="2"/>
      <c r="L953" s="2"/>
    </row>
    <row r="954" spans="1:12" x14ac:dyDescent="0.2">
      <c r="A954" s="2"/>
      <c r="B954" s="2"/>
      <c r="C954" s="2"/>
      <c r="D954" s="2"/>
      <c r="E954" s="2"/>
      <c r="F954" s="2"/>
      <c r="G954" s="2"/>
      <c r="H954" s="2"/>
      <c r="I954" s="2"/>
      <c r="J954" s="2"/>
      <c r="K954" s="2"/>
      <c r="L954" s="2"/>
    </row>
    <row r="955" spans="1:12" x14ac:dyDescent="0.2">
      <c r="A955" s="2"/>
      <c r="B955" s="2"/>
      <c r="C955" s="2"/>
      <c r="D955" s="2"/>
      <c r="E955" s="2"/>
      <c r="F955" s="2"/>
      <c r="G955" s="2"/>
      <c r="H955" s="2"/>
      <c r="I955" s="2"/>
      <c r="J955" s="2"/>
      <c r="K955" s="2"/>
      <c r="L955" s="2"/>
    </row>
    <row r="956" spans="1:12" x14ac:dyDescent="0.2">
      <c r="A956" s="2"/>
      <c r="B956" s="2"/>
      <c r="C956" s="2"/>
      <c r="D956" s="2"/>
      <c r="E956" s="2"/>
      <c r="F956" s="2"/>
      <c r="G956" s="2"/>
      <c r="H956" s="2"/>
      <c r="I956" s="2"/>
      <c r="J956" s="2"/>
      <c r="K956" s="2"/>
      <c r="L956" s="2"/>
    </row>
    <row r="957" spans="1:12" x14ac:dyDescent="0.2">
      <c r="A957" s="2"/>
      <c r="B957" s="2"/>
      <c r="C957" s="2"/>
      <c r="D957" s="2"/>
      <c r="E957" s="2"/>
      <c r="F957" s="2"/>
      <c r="G957" s="2"/>
      <c r="H957" s="2"/>
      <c r="I957" s="2"/>
      <c r="J957" s="2"/>
      <c r="K957" s="2"/>
      <c r="L957" s="2"/>
    </row>
    <row r="958" spans="1:12" x14ac:dyDescent="0.2">
      <c r="A958" s="2"/>
      <c r="B958" s="2"/>
      <c r="C958" s="2"/>
      <c r="D958" s="2"/>
      <c r="E958" s="2"/>
      <c r="F958" s="2"/>
      <c r="G958" s="2"/>
      <c r="H958" s="2"/>
      <c r="I958" s="2"/>
      <c r="J958" s="2"/>
      <c r="K958" s="2"/>
      <c r="L958" s="2"/>
    </row>
    <row r="959" spans="1:12" x14ac:dyDescent="0.2">
      <c r="A959" s="2"/>
      <c r="B959" s="2"/>
      <c r="C959" s="2"/>
      <c r="D959" s="2"/>
      <c r="E959" s="2"/>
      <c r="F959" s="2"/>
      <c r="G959" s="2"/>
      <c r="H959" s="2"/>
      <c r="I959" s="2"/>
      <c r="J959" s="2"/>
      <c r="K959" s="2"/>
      <c r="L959" s="2"/>
    </row>
    <row r="960" spans="1:12" x14ac:dyDescent="0.2">
      <c r="A960" s="2"/>
      <c r="B960" s="2"/>
      <c r="C960" s="2"/>
      <c r="D960" s="2"/>
      <c r="E960" s="2"/>
      <c r="F960" s="2"/>
      <c r="G960" s="2"/>
      <c r="H960" s="2"/>
      <c r="I960" s="2"/>
      <c r="J960" s="2"/>
      <c r="K960" s="2"/>
      <c r="L960" s="2"/>
    </row>
    <row r="961" spans="1:12" x14ac:dyDescent="0.2">
      <c r="A961" s="2"/>
      <c r="B961" s="2"/>
      <c r="C961" s="2"/>
      <c r="D961" s="2"/>
      <c r="E961" s="2"/>
      <c r="F961" s="2"/>
      <c r="G961" s="2"/>
      <c r="H961" s="2"/>
      <c r="I961" s="2"/>
      <c r="J961" s="2"/>
      <c r="K961" s="2"/>
      <c r="L961" s="2"/>
    </row>
    <row r="962" spans="1:12" x14ac:dyDescent="0.2">
      <c r="A962" s="2"/>
      <c r="B962" s="2"/>
      <c r="C962" s="2"/>
      <c r="D962" s="2"/>
      <c r="E962" s="2"/>
      <c r="F962" s="2"/>
      <c r="G962" s="2"/>
      <c r="H962" s="2"/>
      <c r="I962" s="2"/>
      <c r="J962" s="2"/>
      <c r="K962" s="2"/>
      <c r="L962" s="2"/>
    </row>
    <row r="963" spans="1:12" x14ac:dyDescent="0.2">
      <c r="A963" s="2"/>
      <c r="B963" s="2"/>
      <c r="C963" s="2"/>
      <c r="D963" s="2"/>
      <c r="E963" s="2"/>
      <c r="F963" s="2"/>
      <c r="G963" s="2"/>
      <c r="H963" s="2"/>
      <c r="I963" s="2"/>
      <c r="J963" s="2"/>
      <c r="K963" s="2"/>
      <c r="L963" s="2"/>
    </row>
    <row r="964" spans="1:12" x14ac:dyDescent="0.2">
      <c r="A964" s="2"/>
      <c r="B964" s="2"/>
      <c r="C964" s="2"/>
      <c r="D964" s="2"/>
      <c r="E964" s="2"/>
      <c r="F964" s="2"/>
      <c r="G964" s="2"/>
      <c r="H964" s="2"/>
      <c r="I964" s="2"/>
      <c r="J964" s="2"/>
      <c r="K964" s="2"/>
      <c r="L964" s="2"/>
    </row>
    <row r="965" spans="1:12" x14ac:dyDescent="0.2">
      <c r="A965" s="2"/>
      <c r="B965" s="2"/>
      <c r="C965" s="2"/>
      <c r="D965" s="2"/>
      <c r="E965" s="2"/>
      <c r="F965" s="2"/>
      <c r="G965" s="2"/>
      <c r="H965" s="2"/>
      <c r="I965" s="2"/>
      <c r="J965" s="2"/>
      <c r="K965" s="2"/>
      <c r="L965" s="2"/>
    </row>
    <row r="966" spans="1:12" x14ac:dyDescent="0.2">
      <c r="A966" s="2"/>
      <c r="B966" s="2"/>
      <c r="C966" s="2"/>
      <c r="D966" s="2"/>
      <c r="E966" s="2"/>
      <c r="F966" s="2"/>
      <c r="G966" s="2"/>
      <c r="H966" s="2"/>
      <c r="I966" s="2"/>
      <c r="J966" s="2"/>
      <c r="K966" s="2"/>
      <c r="L966" s="2"/>
    </row>
    <row r="967" spans="1:12" x14ac:dyDescent="0.2">
      <c r="A967" s="2"/>
      <c r="B967" s="2"/>
      <c r="C967" s="2"/>
      <c r="D967" s="2"/>
      <c r="E967" s="2"/>
      <c r="F967" s="2"/>
      <c r="G967" s="2"/>
      <c r="H967" s="2"/>
      <c r="I967" s="2"/>
      <c r="J967" s="2"/>
      <c r="K967" s="2"/>
      <c r="L967" s="2"/>
    </row>
    <row r="968" spans="1:12" x14ac:dyDescent="0.2">
      <c r="A968" s="2"/>
      <c r="B968" s="2"/>
      <c r="C968" s="2"/>
      <c r="D968" s="2"/>
      <c r="E968" s="2"/>
      <c r="F968" s="2"/>
      <c r="G968" s="2"/>
      <c r="H968" s="2"/>
      <c r="I968" s="2"/>
      <c r="J968" s="2"/>
      <c r="K968" s="2"/>
      <c r="L968" s="2"/>
    </row>
    <row r="969" spans="1:12" x14ac:dyDescent="0.2">
      <c r="A969" s="2"/>
      <c r="B969" s="2"/>
      <c r="C969" s="2"/>
      <c r="D969" s="2"/>
      <c r="E969" s="2"/>
      <c r="F969" s="2"/>
      <c r="G969" s="2"/>
      <c r="H969" s="2"/>
      <c r="I969" s="2"/>
      <c r="J969" s="2"/>
      <c r="K969" s="2"/>
      <c r="L969" s="2"/>
    </row>
    <row r="970" spans="1:12" x14ac:dyDescent="0.2">
      <c r="A970" s="2"/>
      <c r="B970" s="2"/>
      <c r="C970" s="2"/>
      <c r="D970" s="2"/>
      <c r="E970" s="2"/>
      <c r="F970" s="2"/>
      <c r="G970" s="2"/>
      <c r="H970" s="2"/>
      <c r="I970" s="2"/>
      <c r="J970" s="2"/>
      <c r="K970" s="2"/>
      <c r="L970" s="2"/>
    </row>
    <row r="971" spans="1:12" x14ac:dyDescent="0.2">
      <c r="A971" s="2"/>
      <c r="B971" s="2"/>
      <c r="C971" s="2"/>
      <c r="D971" s="2"/>
      <c r="E971" s="2"/>
      <c r="F971" s="2"/>
      <c r="G971" s="2"/>
      <c r="H971" s="2"/>
      <c r="I971" s="2"/>
      <c r="J971" s="2"/>
      <c r="K971" s="2"/>
      <c r="L971" s="2"/>
    </row>
    <row r="972" spans="1:12" x14ac:dyDescent="0.2">
      <c r="A972" s="2"/>
      <c r="B972" s="2"/>
      <c r="C972" s="2"/>
      <c r="D972" s="2"/>
      <c r="E972" s="2"/>
      <c r="F972" s="2"/>
      <c r="G972" s="2"/>
      <c r="H972" s="2"/>
      <c r="I972" s="2"/>
      <c r="J972" s="2"/>
      <c r="K972" s="2"/>
      <c r="L972" s="2"/>
    </row>
    <row r="973" spans="1:12" x14ac:dyDescent="0.2">
      <c r="A973" s="2"/>
      <c r="B973" s="2"/>
      <c r="C973" s="2"/>
      <c r="D973" s="2"/>
      <c r="E973" s="2"/>
      <c r="F973" s="2"/>
      <c r="G973" s="2"/>
      <c r="H973" s="2"/>
      <c r="I973" s="2"/>
      <c r="J973" s="2"/>
      <c r="K973" s="2"/>
      <c r="L973" s="2"/>
    </row>
    <row r="974" spans="1:12" x14ac:dyDescent="0.2">
      <c r="A974" s="2"/>
      <c r="B974" s="2"/>
      <c r="C974" s="2"/>
      <c r="D974" s="2"/>
      <c r="E974" s="2"/>
      <c r="F974" s="2"/>
      <c r="G974" s="2"/>
      <c r="H974" s="2"/>
      <c r="I974" s="2"/>
      <c r="J974" s="2"/>
      <c r="K974" s="2"/>
      <c r="L974" s="2"/>
    </row>
    <row r="975" spans="1:12" x14ac:dyDescent="0.2">
      <c r="A975" s="2"/>
      <c r="B975" s="2"/>
      <c r="C975" s="2"/>
      <c r="D975" s="2"/>
      <c r="E975" s="2"/>
      <c r="F975" s="2"/>
      <c r="G975" s="2"/>
      <c r="H975" s="2"/>
      <c r="I975" s="2"/>
      <c r="J975" s="2"/>
      <c r="K975" s="2"/>
      <c r="L975" s="2"/>
    </row>
    <row r="976" spans="1:12" x14ac:dyDescent="0.2">
      <c r="A976" s="2"/>
      <c r="B976" s="2"/>
      <c r="C976" s="2"/>
      <c r="D976" s="2"/>
      <c r="E976" s="2"/>
      <c r="F976" s="2"/>
      <c r="G976" s="2"/>
      <c r="H976" s="2"/>
      <c r="I976" s="2"/>
      <c r="J976" s="2"/>
      <c r="K976" s="2"/>
      <c r="L976" s="2"/>
    </row>
    <row r="977" spans="1:12" x14ac:dyDescent="0.2">
      <c r="A977" s="2"/>
      <c r="B977" s="2"/>
      <c r="C977" s="2"/>
      <c r="D977" s="2"/>
      <c r="E977" s="2"/>
      <c r="F977" s="2"/>
      <c r="G977" s="2"/>
      <c r="H977" s="2"/>
      <c r="I977" s="2"/>
      <c r="J977" s="2"/>
      <c r="K977" s="2"/>
      <c r="L977" s="2"/>
    </row>
    <row r="978" spans="1:12" x14ac:dyDescent="0.2">
      <c r="A978" s="2"/>
      <c r="B978" s="2"/>
      <c r="C978" s="2"/>
      <c r="D978" s="2"/>
      <c r="E978" s="2"/>
      <c r="F978" s="2"/>
      <c r="G978" s="2"/>
      <c r="H978" s="2"/>
      <c r="I978" s="2"/>
      <c r="J978" s="2"/>
      <c r="K978" s="2"/>
      <c r="L978" s="2"/>
    </row>
    <row r="979" spans="1:12" x14ac:dyDescent="0.2">
      <c r="A979" s="2"/>
      <c r="B979" s="2"/>
      <c r="C979" s="2"/>
      <c r="D979" s="2"/>
      <c r="E979" s="2"/>
      <c r="F979" s="2"/>
      <c r="G979" s="2"/>
      <c r="H979" s="2"/>
      <c r="I979" s="2"/>
      <c r="J979" s="2"/>
      <c r="K979" s="2"/>
      <c r="L979" s="2"/>
    </row>
    <row r="980" spans="1:12" x14ac:dyDescent="0.2">
      <c r="A980" s="2"/>
      <c r="B980" s="2"/>
      <c r="C980" s="2"/>
      <c r="D980" s="2"/>
      <c r="E980" s="2"/>
      <c r="F980" s="2"/>
      <c r="G980" s="2"/>
      <c r="H980" s="2"/>
      <c r="I980" s="2"/>
      <c r="J980" s="2"/>
      <c r="K980" s="2"/>
      <c r="L980" s="2"/>
    </row>
    <row r="981" spans="1:12" x14ac:dyDescent="0.2">
      <c r="A981" s="2"/>
      <c r="B981" s="2"/>
      <c r="C981" s="2"/>
      <c r="D981" s="2"/>
      <c r="E981" s="2"/>
      <c r="F981" s="2"/>
      <c r="G981" s="2"/>
      <c r="H981" s="2"/>
      <c r="I981" s="2"/>
      <c r="J981" s="2"/>
      <c r="K981" s="2"/>
      <c r="L981" s="2"/>
    </row>
    <row r="982" spans="1:12" x14ac:dyDescent="0.2">
      <c r="A982" s="2"/>
      <c r="B982" s="2"/>
      <c r="C982" s="2"/>
      <c r="D982" s="2"/>
      <c r="E982" s="2"/>
      <c r="F982" s="2"/>
      <c r="G982" s="2"/>
      <c r="H982" s="2"/>
      <c r="I982" s="2"/>
      <c r="J982" s="2"/>
      <c r="K982" s="2"/>
      <c r="L982" s="2"/>
    </row>
    <row r="983" spans="1:12" x14ac:dyDescent="0.2">
      <c r="A983" s="2"/>
      <c r="B983" s="2"/>
      <c r="C983" s="2"/>
      <c r="D983" s="2"/>
      <c r="E983" s="2"/>
      <c r="F983" s="2"/>
      <c r="G983" s="2"/>
      <c r="H983" s="2"/>
      <c r="I983" s="2"/>
      <c r="J983" s="2"/>
      <c r="K983" s="2"/>
      <c r="L983" s="2"/>
    </row>
    <row r="984" spans="1:12" x14ac:dyDescent="0.2">
      <c r="A984" s="2"/>
      <c r="B984" s="2"/>
      <c r="C984" s="2"/>
      <c r="D984" s="2"/>
      <c r="E984" s="2"/>
      <c r="F984" s="2"/>
      <c r="G984" s="2"/>
      <c r="H984" s="2"/>
      <c r="I984" s="2"/>
      <c r="J984" s="2"/>
      <c r="K984" s="2"/>
      <c r="L984" s="2"/>
    </row>
    <row r="985" spans="1:12" x14ac:dyDescent="0.2">
      <c r="A985" s="2"/>
      <c r="B985" s="2"/>
      <c r="C985" s="2"/>
      <c r="D985" s="2"/>
      <c r="E985" s="2"/>
      <c r="F985" s="2"/>
      <c r="G985" s="2"/>
      <c r="H985" s="2"/>
      <c r="I985" s="2"/>
      <c r="J985" s="2"/>
      <c r="K985" s="2"/>
      <c r="L985" s="2"/>
    </row>
    <row r="986" spans="1:12" x14ac:dyDescent="0.2">
      <c r="A986" s="2"/>
      <c r="B986" s="2"/>
      <c r="C986" s="2"/>
      <c r="D986" s="2"/>
      <c r="E986" s="2"/>
      <c r="F986" s="2"/>
      <c r="G986" s="2"/>
      <c r="H986" s="2"/>
      <c r="I986" s="2"/>
      <c r="J986" s="2"/>
      <c r="K986" s="2"/>
      <c r="L986" s="2"/>
    </row>
    <row r="987" spans="1:12" x14ac:dyDescent="0.2">
      <c r="A987" s="2"/>
      <c r="B987" s="2"/>
      <c r="C987" s="2"/>
      <c r="D987" s="2"/>
      <c r="E987" s="2"/>
      <c r="F987" s="2"/>
      <c r="G987" s="2"/>
      <c r="H987" s="2"/>
      <c r="I987" s="2"/>
      <c r="J987" s="2"/>
      <c r="K987" s="2"/>
      <c r="L987" s="2"/>
    </row>
    <row r="988" spans="1:12" x14ac:dyDescent="0.2">
      <c r="A988" s="2"/>
      <c r="B988" s="2"/>
      <c r="C988" s="2"/>
      <c r="D988" s="2"/>
      <c r="E988" s="2"/>
      <c r="F988" s="2"/>
      <c r="G988" s="2"/>
      <c r="H988" s="2"/>
      <c r="I988" s="2"/>
      <c r="J988" s="2"/>
      <c r="K988" s="2"/>
      <c r="L988" s="2"/>
    </row>
    <row r="989" spans="1:12" x14ac:dyDescent="0.2">
      <c r="A989" s="2"/>
      <c r="B989" s="2"/>
      <c r="C989" s="2"/>
      <c r="D989" s="2"/>
      <c r="E989" s="2"/>
      <c r="F989" s="2"/>
      <c r="G989" s="2"/>
      <c r="H989" s="2"/>
      <c r="I989" s="2"/>
      <c r="J989" s="2"/>
      <c r="K989" s="2"/>
      <c r="L989" s="2"/>
    </row>
    <row r="990" spans="1:12" x14ac:dyDescent="0.2">
      <c r="A990" s="2"/>
      <c r="B990" s="2"/>
      <c r="C990" s="2"/>
      <c r="D990" s="2"/>
      <c r="E990" s="2"/>
      <c r="F990" s="2"/>
      <c r="G990" s="2"/>
      <c r="H990" s="2"/>
      <c r="I990" s="2"/>
      <c r="J990" s="2"/>
      <c r="K990" s="2"/>
      <c r="L990" s="2"/>
    </row>
    <row r="991" spans="1:12" x14ac:dyDescent="0.2">
      <c r="A991" s="2"/>
      <c r="B991" s="2"/>
      <c r="C991" s="2"/>
      <c r="D991" s="2"/>
      <c r="E991" s="2"/>
      <c r="F991" s="2"/>
      <c r="G991" s="2"/>
      <c r="H991" s="2"/>
      <c r="I991" s="2"/>
      <c r="J991" s="2"/>
      <c r="K991" s="2"/>
      <c r="L991" s="2"/>
    </row>
    <row r="992" spans="1:12" x14ac:dyDescent="0.2">
      <c r="A992" s="2"/>
      <c r="B992" s="2"/>
      <c r="C992" s="2"/>
      <c r="D992" s="2"/>
      <c r="E992" s="2"/>
      <c r="F992" s="2"/>
      <c r="G992" s="2"/>
      <c r="H992" s="2"/>
      <c r="I992" s="2"/>
      <c r="J992" s="2"/>
      <c r="K992" s="2"/>
      <c r="L992" s="2"/>
    </row>
    <row r="993" spans="1:12" x14ac:dyDescent="0.2">
      <c r="A993" s="2"/>
      <c r="B993" s="2"/>
      <c r="C993" s="2"/>
      <c r="D993" s="2"/>
      <c r="E993" s="2"/>
      <c r="F993" s="2"/>
      <c r="G993" s="2"/>
      <c r="H993" s="2"/>
      <c r="I993" s="2"/>
      <c r="J993" s="2"/>
      <c r="K993" s="2"/>
      <c r="L993" s="2"/>
    </row>
    <row r="994" spans="1:12" x14ac:dyDescent="0.2">
      <c r="A994" s="2"/>
      <c r="B994" s="2"/>
      <c r="C994" s="2"/>
      <c r="D994" s="2"/>
      <c r="E994" s="2"/>
      <c r="F994" s="2"/>
      <c r="G994" s="2"/>
      <c r="H994" s="2"/>
      <c r="I994" s="2"/>
      <c r="J994" s="2"/>
      <c r="K994" s="2"/>
      <c r="L994" s="2"/>
    </row>
    <row r="995" spans="1:12" x14ac:dyDescent="0.2">
      <c r="A995" s="2"/>
      <c r="B995" s="2"/>
      <c r="C995" s="2"/>
      <c r="D995" s="2"/>
      <c r="E995" s="2"/>
      <c r="F995" s="2"/>
      <c r="G995" s="2"/>
      <c r="H995" s="2"/>
      <c r="I995" s="2"/>
      <c r="J995" s="2"/>
      <c r="K995" s="2"/>
      <c r="L995" s="2"/>
    </row>
    <row r="996" spans="1:12" x14ac:dyDescent="0.2">
      <c r="A996" s="2"/>
      <c r="B996" s="2"/>
      <c r="C996" s="2"/>
      <c r="D996" s="2"/>
      <c r="E996" s="2"/>
      <c r="F996" s="2"/>
      <c r="G996" s="2"/>
      <c r="H996" s="2"/>
      <c r="I996" s="2"/>
      <c r="J996" s="2"/>
      <c r="K996" s="2"/>
      <c r="L996" s="2"/>
    </row>
    <row r="997" spans="1:12" x14ac:dyDescent="0.2">
      <c r="A997" s="2"/>
      <c r="B997" s="2"/>
      <c r="C997" s="2"/>
      <c r="D997" s="2"/>
      <c r="E997" s="2"/>
      <c r="F997" s="2"/>
      <c r="G997" s="2"/>
      <c r="H997" s="2"/>
      <c r="I997" s="2"/>
      <c r="J997" s="2"/>
      <c r="K997" s="2"/>
      <c r="L997" s="2"/>
    </row>
    <row r="998" spans="1:12" x14ac:dyDescent="0.2">
      <c r="A998" s="2"/>
      <c r="B998" s="2"/>
      <c r="C998" s="2"/>
      <c r="D998" s="2"/>
      <c r="E998" s="2"/>
      <c r="F998" s="2"/>
      <c r="G998" s="2"/>
      <c r="H998" s="2"/>
      <c r="I998" s="2"/>
      <c r="J998" s="2"/>
      <c r="K998" s="2"/>
      <c r="L998" s="2"/>
    </row>
    <row r="999" spans="1:12" x14ac:dyDescent="0.2">
      <c r="A999" s="2"/>
      <c r="B999" s="2"/>
      <c r="C999" s="2"/>
      <c r="D999" s="2"/>
      <c r="E999" s="2"/>
      <c r="F999" s="2"/>
      <c r="G999" s="2"/>
      <c r="H999" s="2"/>
      <c r="I999" s="2"/>
      <c r="J999" s="2"/>
      <c r="K999" s="2"/>
      <c r="L999" s="2"/>
    </row>
    <row r="1000" spans="1:12" x14ac:dyDescent="0.2">
      <c r="A1000" s="2"/>
      <c r="B1000" s="2"/>
      <c r="C1000" s="2"/>
      <c r="D1000" s="2"/>
      <c r="E1000" s="2"/>
      <c r="F1000" s="2"/>
      <c r="G1000" s="2"/>
      <c r="H1000" s="2"/>
      <c r="I1000" s="2"/>
      <c r="J1000" s="2"/>
      <c r="K1000" s="2"/>
      <c r="L1000" s="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Z998"/>
  <sheetViews>
    <sheetView workbookViewId="0">
      <pane ySplit="1" topLeftCell="A2" activePane="bottomLeft" state="frozen"/>
      <selection pane="bottomLeft" activeCell="B3" sqref="B3"/>
    </sheetView>
  </sheetViews>
  <sheetFormatPr defaultColWidth="12.5703125" defaultRowHeight="15.75" customHeight="1" x14ac:dyDescent="0.2"/>
  <cols>
    <col min="7" max="7" width="405.42578125" customWidth="1"/>
  </cols>
  <sheetData>
    <row r="1" spans="1:26" x14ac:dyDescent="0.2">
      <c r="A1" s="4" t="str">
        <f ca="1">IFERROR(__xludf.DUMMYFUNCTION("importrange(""https://docs.google.com/spreadsheets/d/1cTJhHX6toeLwUzYfDzL_bHPeymR1SFgR/edit#gid=1396441050"", ""ISPRA!A1:l"")"),"#REF!")</f>
        <v>#REF!</v>
      </c>
      <c r="B1" s="4" t="s">
        <v>0</v>
      </c>
      <c r="C1" s="4" t="s">
        <v>1</v>
      </c>
      <c r="D1" s="4" t="s">
        <v>268</v>
      </c>
      <c r="E1" s="4" t="s">
        <v>2</v>
      </c>
      <c r="F1" s="4" t="s">
        <v>3</v>
      </c>
      <c r="G1" s="4" t="s">
        <v>4</v>
      </c>
      <c r="H1" s="4" t="s">
        <v>5</v>
      </c>
      <c r="I1" s="8"/>
      <c r="J1" s="8"/>
      <c r="K1" s="8"/>
      <c r="L1" s="8"/>
      <c r="M1" s="8"/>
      <c r="N1" s="8"/>
      <c r="O1" s="8"/>
      <c r="P1" s="8"/>
      <c r="Q1" s="8"/>
      <c r="R1" s="8"/>
      <c r="S1" s="8"/>
      <c r="T1" s="8"/>
      <c r="U1" s="8"/>
      <c r="V1" s="8"/>
      <c r="W1" s="8"/>
      <c r="X1" s="8"/>
      <c r="Y1" s="8"/>
      <c r="Z1" s="8"/>
    </row>
    <row r="2" spans="1:26" x14ac:dyDescent="0.2">
      <c r="A2" s="5" t="s">
        <v>141</v>
      </c>
      <c r="B2" s="5" t="s">
        <v>262</v>
      </c>
      <c r="C2" s="5" t="s">
        <v>11</v>
      </c>
      <c r="D2" s="5" t="s">
        <v>145</v>
      </c>
      <c r="E2" s="5" t="s">
        <v>14</v>
      </c>
      <c r="F2" s="5" t="s">
        <v>269</v>
      </c>
      <c r="G2" s="5" t="s">
        <v>146</v>
      </c>
      <c r="H2" s="5" t="s">
        <v>270</v>
      </c>
      <c r="I2" s="9"/>
      <c r="J2" s="9"/>
      <c r="K2" s="9"/>
      <c r="L2" s="9"/>
      <c r="M2" s="9"/>
      <c r="N2" s="9"/>
      <c r="O2" s="9"/>
      <c r="P2" s="9"/>
      <c r="Q2" s="9"/>
      <c r="R2" s="9"/>
      <c r="S2" s="9"/>
      <c r="T2" s="9"/>
      <c r="U2" s="9"/>
      <c r="V2" s="9"/>
      <c r="W2" s="9"/>
      <c r="X2" s="9"/>
      <c r="Y2" s="9"/>
      <c r="Z2" s="9"/>
    </row>
    <row r="3" spans="1:26" x14ac:dyDescent="0.2">
      <c r="A3" s="5" t="s">
        <v>141</v>
      </c>
      <c r="B3" s="5" t="s">
        <v>263</v>
      </c>
      <c r="C3" s="5" t="s">
        <v>18</v>
      </c>
      <c r="D3" s="5" t="s">
        <v>142</v>
      </c>
      <c r="E3" s="5" t="s">
        <v>14</v>
      </c>
      <c r="F3" s="5" t="s">
        <v>269</v>
      </c>
      <c r="G3" s="5" t="s">
        <v>143</v>
      </c>
      <c r="H3" s="5" t="s">
        <v>271</v>
      </c>
      <c r="I3" s="2"/>
      <c r="J3" s="2"/>
      <c r="K3" s="2"/>
      <c r="L3" s="2"/>
      <c r="M3" s="2"/>
      <c r="N3" s="2"/>
      <c r="O3" s="2"/>
      <c r="P3" s="2"/>
      <c r="Q3" s="2"/>
      <c r="R3" s="2"/>
      <c r="S3" s="2"/>
      <c r="T3" s="2"/>
      <c r="U3" s="2"/>
      <c r="V3" s="2"/>
      <c r="W3" s="2"/>
      <c r="X3" s="2"/>
      <c r="Y3" s="2"/>
      <c r="Z3" s="2"/>
    </row>
    <row r="4" spans="1:26" x14ac:dyDescent="0.2">
      <c r="A4" s="5" t="s">
        <v>141</v>
      </c>
      <c r="B4" s="5" t="s">
        <v>265</v>
      </c>
      <c r="C4" s="5" t="s">
        <v>32</v>
      </c>
      <c r="D4" s="5" t="s">
        <v>147</v>
      </c>
      <c r="E4" s="5" t="s">
        <v>14</v>
      </c>
      <c r="F4" s="5" t="s">
        <v>269</v>
      </c>
      <c r="G4" s="5" t="s">
        <v>148</v>
      </c>
      <c r="H4" s="5" t="s">
        <v>272</v>
      </c>
      <c r="I4" s="2"/>
      <c r="J4" s="2"/>
      <c r="K4" s="2"/>
      <c r="L4" s="2"/>
      <c r="M4" s="2"/>
      <c r="N4" s="2"/>
      <c r="O4" s="2"/>
      <c r="P4" s="2"/>
      <c r="Q4" s="2"/>
      <c r="R4" s="2"/>
      <c r="S4" s="2"/>
      <c r="T4" s="2"/>
      <c r="U4" s="2"/>
      <c r="V4" s="2"/>
      <c r="W4" s="2"/>
      <c r="X4" s="2"/>
      <c r="Y4" s="2"/>
      <c r="Z4" s="2"/>
    </row>
    <row r="5" spans="1:26" x14ac:dyDescent="0.2">
      <c r="A5" s="10" t="s">
        <v>141</v>
      </c>
      <c r="B5" s="10" t="s">
        <v>263</v>
      </c>
      <c r="C5" s="10" t="s">
        <v>37</v>
      </c>
      <c r="D5" s="10" t="s">
        <v>144</v>
      </c>
      <c r="E5" s="10" t="s">
        <v>14</v>
      </c>
      <c r="F5" s="10" t="s">
        <v>269</v>
      </c>
      <c r="G5" s="5"/>
      <c r="H5" s="5"/>
      <c r="I5" s="9"/>
      <c r="J5" s="5" t="s">
        <v>273</v>
      </c>
      <c r="K5" s="9"/>
      <c r="L5" s="9"/>
      <c r="M5" s="9"/>
      <c r="N5" s="9"/>
      <c r="O5" s="9"/>
      <c r="P5" s="9"/>
      <c r="Q5" s="9"/>
      <c r="R5" s="9"/>
      <c r="S5" s="9"/>
      <c r="T5" s="9"/>
      <c r="U5" s="9"/>
      <c r="V5" s="9"/>
      <c r="W5" s="9"/>
      <c r="X5" s="9"/>
      <c r="Y5" s="9"/>
      <c r="Z5" s="9"/>
    </row>
    <row r="6" spans="1:26" x14ac:dyDescent="0.2">
      <c r="A6" s="2"/>
      <c r="B6" s="2"/>
      <c r="C6" s="2"/>
      <c r="D6" s="2"/>
      <c r="E6" s="2"/>
      <c r="F6" s="2"/>
      <c r="G6" s="2"/>
      <c r="H6" s="2"/>
      <c r="I6" s="2"/>
      <c r="J6" s="2"/>
      <c r="K6" s="2"/>
      <c r="L6" s="2"/>
      <c r="M6" s="2"/>
      <c r="N6" s="2"/>
      <c r="O6" s="2"/>
      <c r="P6" s="2"/>
      <c r="Q6" s="2"/>
      <c r="R6" s="2"/>
      <c r="S6" s="2"/>
      <c r="T6" s="2"/>
      <c r="U6" s="2"/>
      <c r="V6" s="2"/>
      <c r="W6" s="2"/>
      <c r="X6" s="2"/>
      <c r="Y6" s="2"/>
      <c r="Z6" s="2"/>
    </row>
    <row r="7" spans="1:26" x14ac:dyDescent="0.2">
      <c r="A7" s="2"/>
      <c r="B7" s="2"/>
      <c r="C7" s="2"/>
      <c r="D7" s="2"/>
      <c r="E7" s="2"/>
      <c r="F7" s="2"/>
      <c r="G7" s="2"/>
      <c r="H7" s="2"/>
      <c r="I7" s="2"/>
      <c r="J7" s="2"/>
      <c r="K7" s="2"/>
      <c r="L7" s="2"/>
      <c r="M7" s="2"/>
      <c r="N7" s="2"/>
      <c r="O7" s="2"/>
      <c r="P7" s="2"/>
      <c r="Q7" s="2"/>
      <c r="R7" s="2"/>
      <c r="S7" s="2"/>
      <c r="T7" s="2"/>
      <c r="U7" s="2"/>
      <c r="V7" s="2"/>
      <c r="W7" s="2"/>
      <c r="X7" s="2"/>
      <c r="Y7" s="2"/>
      <c r="Z7" s="2"/>
    </row>
    <row r="8" spans="1:26" x14ac:dyDescent="0.2">
      <c r="A8" s="2"/>
      <c r="B8" s="2"/>
      <c r="C8" s="2"/>
      <c r="D8" s="2"/>
      <c r="E8" s="2"/>
      <c r="F8" s="2"/>
      <c r="G8" s="2"/>
      <c r="H8" s="2"/>
      <c r="I8" s="2"/>
      <c r="J8" s="2"/>
      <c r="K8" s="2"/>
      <c r="L8" s="2"/>
      <c r="M8" s="2"/>
      <c r="N8" s="2"/>
      <c r="O8" s="2"/>
      <c r="P8" s="2"/>
      <c r="Q8" s="2"/>
      <c r="R8" s="2"/>
      <c r="S8" s="2"/>
      <c r="T8" s="2"/>
      <c r="U8" s="2"/>
      <c r="V8" s="2"/>
      <c r="W8" s="2"/>
      <c r="X8" s="2"/>
      <c r="Y8" s="2"/>
      <c r="Z8" s="2"/>
    </row>
    <row r="9" spans="1:26" x14ac:dyDescent="0.2">
      <c r="A9" s="2"/>
      <c r="B9" s="2"/>
      <c r="C9" s="2"/>
      <c r="D9" s="2"/>
      <c r="E9" s="2"/>
      <c r="F9" s="2"/>
      <c r="G9" s="2"/>
      <c r="H9" s="2"/>
      <c r="I9" s="2"/>
      <c r="J9" s="2"/>
      <c r="K9" s="2"/>
      <c r="L9" s="2"/>
      <c r="M9" s="2"/>
      <c r="N9" s="2"/>
      <c r="O9" s="2"/>
      <c r="P9" s="2"/>
      <c r="Q9" s="2"/>
      <c r="R9" s="2"/>
      <c r="S9" s="2"/>
      <c r="T9" s="2"/>
      <c r="U9" s="2"/>
      <c r="V9" s="2"/>
      <c r="W9" s="2"/>
      <c r="X9" s="2"/>
      <c r="Y9" s="2"/>
      <c r="Z9" s="2"/>
    </row>
    <row r="10" spans="1:26" x14ac:dyDescent="0.2">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16</vt:i4>
      </vt:variant>
    </vt:vector>
  </HeadingPairs>
  <TitlesOfParts>
    <vt:vector size="16" baseType="lpstr">
      <vt:lpstr>EMBRC-IT Services 2023</vt:lpstr>
      <vt:lpstr>Partners</vt:lpstr>
      <vt:lpstr>SZN</vt:lpstr>
      <vt:lpstr>CNR</vt:lpstr>
      <vt:lpstr>CONISMA</vt:lpstr>
      <vt:lpstr>OGS</vt:lpstr>
      <vt:lpstr>IZSPLV</vt:lpstr>
      <vt:lpstr>ENEA</vt:lpstr>
      <vt:lpstr>ISPRA</vt:lpstr>
      <vt:lpstr>UNITUS</vt:lpstr>
      <vt:lpstr>UNICA</vt:lpstr>
      <vt:lpstr>UNIFE</vt:lpstr>
      <vt:lpstr>UNIME</vt:lpstr>
      <vt:lpstr>UNITO</vt:lpstr>
      <vt:lpstr>UNIMIB</vt:lpstr>
      <vt:lpstr>UNIVPM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Pietro Tedesco</cp:lastModifiedBy>
  <dcterms:modified xsi:type="dcterms:W3CDTF">2024-04-30T12:16:39Z</dcterms:modified>
</cp:coreProperties>
</file>